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M:\LAI\Mapa de Contratos 2021\"/>
    </mc:Choice>
  </mc:AlternateContent>
  <bookViews>
    <workbookView xWindow="0" yWindow="0" windowWidth="23040" windowHeight="9192" tabRatio="842"/>
  </bookViews>
  <sheets>
    <sheet name="AGEFEPE - 2021" sheetId="35" r:id="rId1"/>
    <sheet name="Soluti-CERTIFICADO DIGITAL" sheetId="30" state="hidden" r:id="rId2"/>
    <sheet name="CDL neg." sheetId="10" state="hidden" r:id="rId3"/>
    <sheet name="CDL anal" sheetId="9" state="hidden" r:id="rId4"/>
    <sheet name="SERASA NEG." sheetId="11" state="hidden" r:id="rId5"/>
    <sheet name="SERASA ANALISE" sheetId="12" state="hidden" r:id="rId6"/>
    <sheet name="PRODUTIVA" sheetId="21" state="hidden" r:id="rId7"/>
    <sheet name="Trans serv" sheetId="29" state="hidden" r:id="rId8"/>
    <sheet name="GRÁFICA sin. SANTA MARIA" sheetId="28" state="hidden" r:id="rId9"/>
    <sheet name="IMPRESSÃO" sheetId="15" state="hidden" r:id="rId10"/>
    <sheet name="ÁGUA" sheetId="16" state="hidden" r:id="rId11"/>
    <sheet name="FENASEG - B3" sheetId="17" state="hidden" r:id="rId12"/>
    <sheet name="NAE" sheetId="22" state="hidden" r:id="rId13"/>
    <sheet name="CEPE" sheetId="23" state="hidden" r:id="rId14"/>
    <sheet name="SERVAL MOTORISTA" sheetId="25" state="hidden" r:id="rId15"/>
    <sheet name="CIEE" sheetId="27" state="hidden" r:id="rId16"/>
    <sheet name="IAUPE" sheetId="14" state="hidden" r:id="rId17"/>
  </sheets>
  <definedNames>
    <definedName name="_xlnm._FilterDatabase" localSheetId="0" hidden="1">'AGEFEPE - 2021'!$A$1:$J$56</definedName>
    <definedName name="Ano" localSheetId="0">#REF!</definedName>
    <definedName name="Ano" localSheetId="11">#REF!</definedName>
    <definedName name="Ano" localSheetId="1">#REF!</definedName>
    <definedName name="Ano" localSheetId="7">#REF!</definedName>
    <definedName name="Ano">#REF!</definedName>
    <definedName name="_xlnm.Print_Area" localSheetId="10">ÁGUA!$A$1:$I$43</definedName>
    <definedName name="_xlnm.Print_Area" localSheetId="9">IMPRESSÃO!$A$1:$G$20</definedName>
    <definedName name="_xlnm.Print_Area" localSheetId="12">NAE!$A$1:$B$27</definedName>
    <definedName name="_xlnm.Print_Area" localSheetId="5">'SERASA ANALISE'!$A$1:$G$68</definedName>
    <definedName name="_xlnm.Print_Area" localSheetId="4">'SERASA NEG.'!$A$1:$G$63</definedName>
    <definedName name="MonthNames" localSheetId="9">{"Jan","Fev","Mar","Abr","Mai","Jun","Jul","Ago","Set","Out","Nov","Dez"}</definedName>
    <definedName name="sss">#REF!</definedName>
    <definedName name="_xlnm.Print_Titles" localSheetId="0">'AGEFEPE - 2021'!$C:$J,'AGEFEPE - 2021'!#REF!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35" l="1"/>
  <c r="H18" i="35" l="1"/>
  <c r="H26" i="35"/>
  <c r="I11" i="35" l="1"/>
  <c r="I42" i="35"/>
  <c r="H51" i="35" l="1"/>
  <c r="H21" i="35"/>
  <c r="H13" i="35"/>
  <c r="H12" i="35"/>
  <c r="H11" i="35"/>
  <c r="H10" i="35"/>
  <c r="H9" i="35"/>
  <c r="H8" i="35"/>
  <c r="H7" i="35"/>
  <c r="H6" i="35"/>
  <c r="H5" i="35"/>
  <c r="H4" i="35"/>
  <c r="H3" i="35"/>
  <c r="H2" i="35"/>
  <c r="H55" i="35" l="1"/>
  <c r="H53" i="35"/>
  <c r="I43" i="35" l="1"/>
  <c r="I34" i="35" l="1"/>
  <c r="I19" i="35" l="1"/>
  <c r="E43" i="14" l="1"/>
  <c r="E42" i="14"/>
  <c r="D42" i="14"/>
  <c r="D41" i="14"/>
  <c r="D40" i="14"/>
  <c r="C39" i="14"/>
  <c r="C38" i="14"/>
  <c r="C37" i="14"/>
  <c r="C36" i="14"/>
  <c r="C35" i="14"/>
  <c r="C34" i="14"/>
  <c r="C33" i="14"/>
  <c r="C32" i="14"/>
  <c r="F30" i="14"/>
  <c r="B30" i="14"/>
  <c r="E15" i="14"/>
  <c r="E14" i="14"/>
  <c r="D14" i="14"/>
  <c r="D13" i="14"/>
  <c r="D12" i="14"/>
  <c r="C11" i="14"/>
  <c r="C10" i="14"/>
  <c r="C9" i="14"/>
  <c r="C8" i="14"/>
  <c r="C7" i="14"/>
  <c r="C6" i="14"/>
  <c r="C5" i="14"/>
  <c r="C4" i="14"/>
  <c r="F2" i="14"/>
  <c r="D2" i="14"/>
  <c r="B2" i="14"/>
  <c r="F2" i="17"/>
  <c r="E2" i="17"/>
  <c r="C101" i="16"/>
  <c r="C100" i="16"/>
  <c r="C98" i="16"/>
  <c r="C97" i="16"/>
  <c r="D90" i="16"/>
  <c r="D89" i="16"/>
  <c r="C89" i="16"/>
  <c r="G52" i="16"/>
  <c r="C52" i="16"/>
  <c r="G51" i="16"/>
  <c r="C51" i="16"/>
  <c r="G50" i="16"/>
  <c r="C50" i="16"/>
  <c r="C19" i="16"/>
  <c r="D18" i="16"/>
  <c r="C18" i="16"/>
  <c r="D17" i="16"/>
  <c r="D16" i="16"/>
  <c r="D15" i="16"/>
  <c r="D14" i="16"/>
  <c r="D13" i="16"/>
  <c r="C13" i="16"/>
  <c r="D12" i="16"/>
  <c r="D11" i="16"/>
  <c r="D10" i="16"/>
  <c r="D9" i="16"/>
  <c r="C9" i="16"/>
  <c r="D8" i="16"/>
  <c r="D7" i="16"/>
  <c r="D6" i="16"/>
  <c r="H2" i="16"/>
  <c r="F2" i="16"/>
  <c r="D2" i="16"/>
  <c r="B2" i="16"/>
  <c r="D20" i="15"/>
  <c r="C20" i="15"/>
  <c r="D19" i="15"/>
  <c r="C19" i="15"/>
  <c r="H14" i="15"/>
  <c r="H13" i="15"/>
  <c r="H12" i="15"/>
  <c r="H11" i="15"/>
  <c r="H10" i="15"/>
  <c r="H9" i="15"/>
  <c r="H8" i="15"/>
  <c r="H7" i="15"/>
  <c r="C2" i="15"/>
  <c r="B2" i="15"/>
  <c r="G14" i="28"/>
  <c r="E14" i="28"/>
  <c r="C14" i="28"/>
  <c r="G13" i="28"/>
  <c r="G12" i="28"/>
  <c r="E11" i="28"/>
  <c r="E10" i="28"/>
  <c r="G9" i="28"/>
  <c r="G8" i="28"/>
  <c r="E7" i="28"/>
  <c r="E6" i="28"/>
  <c r="D2" i="28"/>
  <c r="B2" i="28"/>
  <c r="D1" i="28"/>
  <c r="F2" i="29"/>
  <c r="D2" i="29"/>
  <c r="B2" i="29"/>
  <c r="E9" i="21"/>
  <c r="D9" i="21"/>
  <c r="E8" i="21"/>
  <c r="E7" i="21"/>
  <c r="E6" i="21"/>
  <c r="F2" i="21"/>
  <c r="D2" i="21"/>
  <c r="B2" i="21"/>
  <c r="D59" i="12"/>
  <c r="D58" i="12"/>
  <c r="B58" i="12"/>
  <c r="E53" i="12"/>
  <c r="D53" i="12"/>
  <c r="E52" i="12"/>
  <c r="D52" i="12"/>
  <c r="F49" i="12"/>
  <c r="B49" i="12"/>
  <c r="G40" i="12"/>
  <c r="G39" i="12"/>
  <c r="F39" i="12"/>
  <c r="C39" i="12"/>
  <c r="G38" i="12"/>
  <c r="G37" i="12"/>
  <c r="F37" i="12"/>
  <c r="C37" i="12"/>
  <c r="G36" i="12"/>
  <c r="F36" i="12"/>
  <c r="E36" i="12"/>
  <c r="C36" i="12"/>
  <c r="B36" i="12"/>
  <c r="G35" i="12"/>
  <c r="F35" i="12"/>
  <c r="C35" i="12"/>
  <c r="G34" i="12"/>
  <c r="F34" i="12"/>
  <c r="C34" i="12"/>
  <c r="G33" i="12"/>
  <c r="F33" i="12"/>
  <c r="C33" i="12"/>
  <c r="G32" i="12"/>
  <c r="F32" i="12"/>
  <c r="C32" i="12"/>
  <c r="G31" i="12"/>
  <c r="F31" i="12"/>
  <c r="C31" i="12"/>
  <c r="B31" i="12"/>
  <c r="F30" i="12"/>
  <c r="C30" i="12"/>
  <c r="F29" i="12"/>
  <c r="C29" i="12"/>
  <c r="F28" i="12"/>
  <c r="C28" i="12"/>
  <c r="G22" i="12"/>
  <c r="G21" i="12"/>
  <c r="G20" i="12"/>
  <c r="G19" i="12"/>
  <c r="G18" i="12"/>
  <c r="H17" i="12"/>
  <c r="G17" i="12"/>
  <c r="F17" i="12"/>
  <c r="C17" i="12"/>
  <c r="G16" i="12"/>
  <c r="G15" i="12"/>
  <c r="F15" i="12"/>
  <c r="C15" i="12"/>
  <c r="G14" i="12"/>
  <c r="G13" i="12"/>
  <c r="G12" i="12"/>
  <c r="F12" i="12"/>
  <c r="C12" i="12"/>
  <c r="G11" i="12"/>
  <c r="F11" i="12"/>
  <c r="C11" i="12"/>
  <c r="G10" i="12"/>
  <c r="F10" i="12"/>
  <c r="C10" i="12"/>
  <c r="E6" i="12"/>
  <c r="D6" i="12"/>
  <c r="E5" i="12"/>
  <c r="D5" i="12"/>
  <c r="F2" i="12"/>
  <c r="D2" i="12"/>
  <c r="B2" i="12"/>
  <c r="D63" i="11"/>
  <c r="B63" i="11"/>
  <c r="D56" i="11"/>
  <c r="B56" i="11"/>
  <c r="D55" i="11"/>
  <c r="B55" i="11"/>
  <c r="D54" i="11"/>
  <c r="B54" i="11"/>
  <c r="D53" i="11"/>
  <c r="B53" i="11"/>
  <c r="D52" i="11"/>
  <c r="B52" i="11"/>
  <c r="E48" i="11"/>
  <c r="D48" i="11"/>
  <c r="E47" i="11"/>
  <c r="D47" i="11"/>
  <c r="F44" i="11"/>
  <c r="B44" i="11"/>
  <c r="G41" i="11"/>
  <c r="G40" i="11"/>
  <c r="F40" i="11"/>
  <c r="C40" i="11"/>
  <c r="G39" i="11"/>
  <c r="F39" i="11"/>
  <c r="C39" i="11"/>
  <c r="G38" i="11"/>
  <c r="F38" i="11"/>
  <c r="E38" i="11"/>
  <c r="C38" i="11"/>
  <c r="B38" i="11"/>
  <c r="G37" i="11"/>
  <c r="F37" i="11"/>
  <c r="C37" i="11"/>
  <c r="G36" i="11"/>
  <c r="F36" i="11"/>
  <c r="C36" i="11"/>
  <c r="B36" i="11"/>
  <c r="G35" i="11"/>
  <c r="F35" i="11"/>
  <c r="C35" i="11"/>
  <c r="G34" i="11"/>
  <c r="F34" i="11"/>
  <c r="C34" i="11"/>
  <c r="G33" i="11"/>
  <c r="F33" i="11"/>
  <c r="E33" i="11"/>
  <c r="C33" i="11"/>
  <c r="B33" i="11"/>
  <c r="E29" i="11"/>
  <c r="B29" i="11"/>
  <c r="G23" i="11"/>
  <c r="G22" i="11"/>
  <c r="G21" i="11"/>
  <c r="G20" i="11"/>
  <c r="G19" i="11"/>
  <c r="F19" i="11"/>
  <c r="C19" i="11"/>
  <c r="G18" i="11"/>
  <c r="G17" i="11"/>
  <c r="F17" i="11"/>
  <c r="C17" i="11"/>
  <c r="G16" i="11"/>
  <c r="G14" i="11"/>
  <c r="F14" i="11"/>
  <c r="C14" i="11"/>
  <c r="G13" i="11"/>
  <c r="F13" i="11"/>
  <c r="C13" i="11"/>
  <c r="G12" i="11"/>
  <c r="F12" i="11"/>
  <c r="E12" i="11"/>
  <c r="C12" i="11"/>
  <c r="B12" i="11"/>
  <c r="E7" i="11"/>
  <c r="D7" i="11"/>
  <c r="E6" i="11"/>
  <c r="D6" i="11"/>
  <c r="F2" i="11"/>
  <c r="D2" i="11"/>
  <c r="B2" i="11"/>
  <c r="G53" i="9"/>
  <c r="G52" i="9"/>
  <c r="F52" i="9"/>
  <c r="C52" i="9"/>
  <c r="G51" i="9"/>
  <c r="F51" i="9"/>
  <c r="C51" i="9"/>
  <c r="G50" i="9"/>
  <c r="F50" i="9"/>
  <c r="C50" i="9"/>
  <c r="G49" i="9"/>
  <c r="F49" i="9"/>
  <c r="C49" i="9"/>
  <c r="G48" i="9"/>
  <c r="F48" i="9"/>
  <c r="C48" i="9"/>
  <c r="G47" i="9"/>
  <c r="F47" i="9"/>
  <c r="C47" i="9"/>
  <c r="G46" i="9"/>
  <c r="F46" i="9"/>
  <c r="C46" i="9"/>
  <c r="G45" i="9"/>
  <c r="C45" i="9"/>
  <c r="B45" i="9"/>
  <c r="G44" i="9"/>
  <c r="F44" i="9"/>
  <c r="C44" i="9"/>
  <c r="B44" i="9"/>
  <c r="G43" i="9"/>
  <c r="G42" i="9"/>
  <c r="G41" i="9"/>
  <c r="G37" i="9"/>
  <c r="G36" i="9"/>
  <c r="C36" i="9"/>
  <c r="G35" i="9"/>
  <c r="C35" i="9"/>
  <c r="G34" i="9"/>
  <c r="F34" i="9"/>
  <c r="C34" i="9"/>
  <c r="G33" i="9"/>
  <c r="F33" i="9"/>
  <c r="C33" i="9"/>
  <c r="E29" i="9"/>
  <c r="D29" i="9"/>
  <c r="E28" i="9"/>
  <c r="D28" i="9"/>
  <c r="F25" i="9"/>
  <c r="D25" i="9"/>
  <c r="B25" i="9"/>
  <c r="G21" i="9"/>
  <c r="C21" i="9"/>
  <c r="G20" i="9"/>
  <c r="C20" i="9"/>
  <c r="G19" i="9"/>
  <c r="C19" i="9"/>
  <c r="G18" i="9"/>
  <c r="C18" i="9"/>
  <c r="G17" i="9"/>
  <c r="C17" i="9"/>
  <c r="G16" i="9"/>
  <c r="C16" i="9"/>
  <c r="G15" i="9"/>
  <c r="C15" i="9"/>
  <c r="G14" i="9"/>
  <c r="C14" i="9"/>
  <c r="G13" i="9"/>
  <c r="C13" i="9"/>
  <c r="G12" i="9"/>
  <c r="F12" i="9"/>
  <c r="C12" i="9"/>
  <c r="G11" i="9"/>
  <c r="F11" i="9"/>
  <c r="C11" i="9"/>
  <c r="E7" i="9"/>
  <c r="D7" i="9"/>
  <c r="E6" i="9"/>
  <c r="D6" i="9"/>
  <c r="E5" i="9"/>
  <c r="D5" i="9"/>
  <c r="F2" i="9"/>
  <c r="D2" i="9"/>
  <c r="B2" i="9"/>
  <c r="C104" i="10"/>
  <c r="C103" i="10"/>
  <c r="C94" i="10"/>
  <c r="D90" i="10"/>
  <c r="C90" i="10"/>
  <c r="B87" i="10"/>
  <c r="F61" i="10"/>
  <c r="D61" i="10"/>
  <c r="F60" i="10"/>
  <c r="F59" i="10"/>
  <c r="F58" i="10"/>
  <c r="F57" i="10"/>
  <c r="F56" i="10"/>
  <c r="D56" i="10"/>
  <c r="C56" i="10"/>
  <c r="F55" i="10"/>
  <c r="D55" i="10"/>
  <c r="C55" i="10"/>
  <c r="F54" i="10"/>
  <c r="D54" i="10"/>
  <c r="C54" i="10"/>
  <c r="F53" i="10"/>
  <c r="D53" i="10"/>
  <c r="C53" i="10"/>
  <c r="F52" i="10"/>
  <c r="D52" i="10"/>
  <c r="F51" i="10"/>
  <c r="F50" i="10"/>
  <c r="D50" i="10"/>
  <c r="C50" i="10"/>
  <c r="F49" i="10"/>
  <c r="D49" i="10"/>
  <c r="E21" i="10"/>
  <c r="C21" i="10"/>
  <c r="E20" i="10"/>
  <c r="D20" i="10"/>
  <c r="C20" i="10"/>
  <c r="E19" i="10"/>
  <c r="D19" i="10"/>
  <c r="C19" i="10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E13" i="10"/>
  <c r="D13" i="10"/>
  <c r="C13" i="10"/>
  <c r="E12" i="10"/>
  <c r="D12" i="10"/>
  <c r="C12" i="10"/>
  <c r="E11" i="10"/>
  <c r="C11" i="10"/>
  <c r="E10" i="10"/>
  <c r="D10" i="10"/>
  <c r="C10" i="10"/>
  <c r="E9" i="10"/>
  <c r="D9" i="10"/>
  <c r="C9" i="10"/>
  <c r="D5" i="10"/>
  <c r="C5" i="10"/>
  <c r="D2" i="10"/>
  <c r="B2" i="10"/>
  <c r="F2" i="30"/>
  <c r="D2" i="30"/>
  <c r="B2" i="30"/>
  <c r="H38" i="35"/>
  <c r="H37" i="35"/>
  <c r="H35" i="35"/>
  <c r="H24" i="35"/>
  <c r="H23" i="35"/>
  <c r="H22" i="35"/>
</calcChain>
</file>

<file path=xl/comments1.xml><?xml version="1.0" encoding="utf-8"?>
<comments xmlns="http://schemas.openxmlformats.org/spreadsheetml/2006/main">
  <authors>
    <author>Enesita Crespo</author>
    <author>Ana Carolina</author>
  </authors>
  <commentList>
    <comment ref="I11" authorId="0" shapeId="0">
      <text>
        <r>
          <rPr>
            <b/>
            <sz val="9"/>
            <color indexed="81"/>
            <rFont val="Segoe UI"/>
            <family val="2"/>
          </rPr>
          <t>Enesita Crespo:</t>
        </r>
        <r>
          <rPr>
            <sz val="9"/>
            <color indexed="81"/>
            <rFont val="Segoe UI"/>
            <family val="2"/>
          </rPr>
          <t xml:space="preserve">
contrato com reajuste anual</t>
        </r>
      </text>
    </comment>
    <comment ref="J19" authorId="1" shapeId="0">
      <text>
        <r>
          <rPr>
            <b/>
            <sz val="11"/>
            <color indexed="81"/>
            <rFont val="Segoe UI"/>
            <family val="2"/>
          </rPr>
          <t>ADC migrado para conectado II lote I A PARTIR DE AGOSTO/21</t>
        </r>
      </text>
    </comment>
    <comment ref="I25" authorId="0" shapeId="0">
      <text>
        <r>
          <rPr>
            <sz val="14"/>
            <color indexed="81"/>
            <rFont val="Segoe UI"/>
            <family val="2"/>
          </rPr>
          <t>Enesita Crespo:
tecnologia superior desse contrato só foi implantada em junho</t>
        </r>
      </text>
    </comment>
    <comment ref="J25" authorId="0" shapeId="0">
      <text>
        <r>
          <rPr>
            <b/>
            <sz val="9"/>
            <color indexed="81"/>
            <rFont val="Segoe UI"/>
            <family val="2"/>
          </rPr>
          <t>Enesita Crespo: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42" authorId="0" shapeId="0">
      <text>
        <r>
          <rPr>
            <b/>
            <sz val="9"/>
            <color indexed="81"/>
            <rFont val="Segoe UI"/>
            <family val="2"/>
          </rPr>
          <t>Enesita Crespo:</t>
        </r>
        <r>
          <rPr>
            <sz val="9"/>
            <color indexed="81"/>
            <rFont val="Segoe UI"/>
            <family val="2"/>
          </rPr>
          <t xml:space="preserve">
contrato com reajuste anual</t>
        </r>
      </text>
    </comment>
  </commentList>
</comments>
</file>

<file path=xl/sharedStrings.xml><?xml version="1.0" encoding="utf-8"?>
<sst xmlns="http://schemas.openxmlformats.org/spreadsheetml/2006/main" count="648" uniqueCount="302">
  <si>
    <t>CAIXA ECONOMICA FEDERAL</t>
  </si>
  <si>
    <t>Qtd</t>
  </si>
  <si>
    <t>ANO</t>
  </si>
  <si>
    <t xml:space="preserve">CONTRATADO </t>
  </si>
  <si>
    <t>OBJETO</t>
  </si>
  <si>
    <t>INÍCIO VIGÊNCIA</t>
  </si>
  <si>
    <t>TÉRMINO VIGÊNCIA</t>
  </si>
  <si>
    <t>014-A/2017</t>
  </si>
  <si>
    <t>N/A</t>
  </si>
  <si>
    <t>020/2019</t>
  </si>
  <si>
    <t>-</t>
  </si>
  <si>
    <t>PRODUTOS</t>
  </si>
  <si>
    <t>TOTAL CONTRATO</t>
  </si>
  <si>
    <t>TOTAL UTILIZADO</t>
  </si>
  <si>
    <t>SALDO</t>
  </si>
  <si>
    <r>
      <t>MIX TOP Análise de Crédito</t>
    </r>
    <r>
      <rPr>
        <sz val="11"/>
        <color indexed="8"/>
        <rFont val="Calibri"/>
        <family val="2"/>
      </rPr>
      <t xml:space="preserve">: Consulta a informações de pessoas naturais e jurídicas, abrangendo Protestos, Cheques sem Fundos, Falências, Concordatas, Recuperações Judiciais e Extrajudiciais, Ações Judiciais, Pendências Financeiras, Dívidas Vencidas e Participantes em Empresas Falidas. </t>
    </r>
  </si>
  <si>
    <r>
      <t>MAXI - Análise de Crédito</t>
    </r>
    <r>
      <rPr>
        <sz val="11"/>
        <color indexed="8"/>
        <rFont val="Calibri"/>
        <family val="2"/>
      </rPr>
      <t>:</t>
    </r>
    <r>
      <rPr>
        <sz val="8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Consulta a informações de pessoas naturais e jurídicas, abrangendo Protestos, Cheques sem Fundos, Falências, Concordatas, Recuperações Judiciais e Extrajudiciais, Ações Judiciais, Pendências Financeiras, Dívidas Vencidas e Participantes em Empresas Falidas, Quadro Social, Participação Societária. </t>
    </r>
  </si>
  <si>
    <t>CONSUMO MÊS - MIX</t>
  </si>
  <si>
    <t>CONSUMO MÊS - MAX</t>
  </si>
  <si>
    <t>MÊS</t>
  </si>
  <si>
    <t>QTD</t>
  </si>
  <si>
    <r>
      <t>AVISO DE NOTIFICAÇÃO E MENSALIDADE - Recuperação de Crédito:</t>
    </r>
    <r>
      <rPr>
        <sz val="11"/>
        <color indexed="8"/>
        <rFont val="Calibri"/>
        <family val="2"/>
      </rPr>
      <t xml:space="preserve"> Negativação de pessoas físicas e jurídicas inadimplentes com a AGEFEPE PF e PJ.</t>
    </r>
  </si>
  <si>
    <t>CONSUMO MÊS</t>
  </si>
  <si>
    <r>
      <t>Recuperação de Crédito:</t>
    </r>
    <r>
      <rPr>
        <sz val="11"/>
        <color rgb="FF000000"/>
        <rFont val="Calibri"/>
        <family val="2"/>
        <scheme val="minor"/>
      </rPr>
      <t xml:space="preserve"> Negativação de pessoas físicas e jurídicas inadimplentes com a AGEFEPE PF.</t>
    </r>
  </si>
  <si>
    <r>
      <t>Recuperação de Crédito:</t>
    </r>
    <r>
      <rPr>
        <sz val="11"/>
        <color rgb="FF000000"/>
        <rFont val="Calibri"/>
        <family val="2"/>
        <scheme val="minor"/>
      </rPr>
      <t xml:space="preserve"> Negativação de pessoas físicas e jurídicas inadimplentes com a AGEFEPE PJ.</t>
    </r>
  </si>
  <si>
    <t>CONSUMO MÊS - PJ</t>
  </si>
  <si>
    <t>CONSUMO MÊS - PF</t>
  </si>
  <si>
    <r>
      <t>PF - Análise de Crédito</t>
    </r>
    <r>
      <rPr>
        <sz val="11"/>
        <color rgb="FF000000"/>
        <rFont val="Calibri"/>
        <family val="2"/>
        <scheme val="minor"/>
      </rPr>
      <t xml:space="preserve">: Consulta a informações de pessoas naturais e jurídicas, abrangendo Protestos, Cheques sem Fundos, Falências, Concordatas, Recuperações Judiciais e Extrajudiciais, Ações Judiciais, Pendências Financeiras, Dívidas Vencidas e Participantes em Empresas Falidas. </t>
    </r>
  </si>
  <si>
    <r>
      <t>PJ - Análise de Crédito</t>
    </r>
    <r>
      <rPr>
        <sz val="11"/>
        <color rgb="FF000000"/>
        <rFont val="Calibri"/>
        <family val="2"/>
        <scheme val="minor"/>
      </rPr>
      <t xml:space="preserve">: Consulta a informações de pessoas naturais e jurídicas, abrangendo Protestos, Cheques sem Fundos, Falências, Concordatas, Recuperações Judiciais e Extrajudiciais, Ações Judiciais, Pendências Financeiras, Dívidas Vencidas e Participantes em Empresas Falidas, Quadro Social, Participação Societária. </t>
    </r>
  </si>
  <si>
    <t>CONSUMO MÊS - PF - TOP SERASA</t>
  </si>
  <si>
    <t>CONSUMO MÊS - PJ - TOP SCORE E CONCENTRE</t>
  </si>
  <si>
    <t>TOTAL</t>
  </si>
  <si>
    <t>ATIVIDADES</t>
  </si>
  <si>
    <t>% exec.</t>
  </si>
  <si>
    <t>Planejado</t>
  </si>
  <si>
    <t>Executado</t>
  </si>
  <si>
    <t>Elaboração do Plano de trabalho, contemplando: o cronograma de execução; o cronograma físico-financeiro (previsão por atividade); metodologia, atividades e produtos previstos; bem como do relatório semestral da execução físico-financeira das atividades desenvolvida, sendo o segundo consolidado (final) do respectivo ano.</t>
  </si>
  <si>
    <t>Apoio técnico e suporte na operacionalização e comercialização dos produtos, divulgação e comunicação da Agência com o mercado e monitoramento das carteiras de crédito</t>
  </si>
  <si>
    <t>Assessoria ao planejamento e execução de ações voltadas ao desenvolvimento de recursos humanos e departamento pessoal.</t>
  </si>
  <si>
    <t>Consultoria legal referente aos normativos internos e externos para mitigação dos riscos operacionais, padronização dos procedimentos, controle de qualidade e maior segurança nas operações de crédito, colaborando para a disseminação da cultura de riscos e controles internos</t>
  </si>
  <si>
    <t>Assessoria técnica financeira e contábil para cumprimento das atividades relacionadas ao desenvolvimento, operacionalização e acompanhamento de programas/produto, inclusive os provenientes aos recursos de repasse e dos fundos especiais operacionalizados pela AGEFEPE</t>
  </si>
  <si>
    <t>Apoio técnico a área de tecnologia da informação e comunicação a partir do planejamento e execução da política de segurança da informação, manutenção do parque de informática instalado (hardwares e softwares) e acompanhamento dos serviços de telemática e do sistema integrado de gestão</t>
  </si>
  <si>
    <t>Apoio técnico e administrativo aos projetos e processos internos da Agência</t>
  </si>
  <si>
    <t>Consultoria técnica de análise e acompanhamento de cadastro e crédito, de forma a minimizar os riscos inerentes à concessão de financiamento e crédito</t>
  </si>
  <si>
    <r>
      <t>DESPESAS TOTAIS</t>
    </r>
    <r>
      <rPr>
        <sz val="10"/>
        <color indexed="8"/>
        <rFont val="Calibri"/>
        <family val="2"/>
      </rPr>
      <t xml:space="preserve"> (pessoal + prestadores)</t>
    </r>
  </si>
  <si>
    <r>
      <t xml:space="preserve">DESPESAS DIVERSAS/CUSTOS INDIRETOS </t>
    </r>
    <r>
      <rPr>
        <sz val="10"/>
        <color indexed="8"/>
        <rFont val="Calibri"/>
        <family val="2"/>
      </rPr>
      <t>(10%-pessoal e prestadores)</t>
    </r>
  </si>
  <si>
    <t>RECEITAS REAIS - VALOR DA NOTA (despesas totais + tx adm.)</t>
  </si>
  <si>
    <t>SALDO DO CONTRATO</t>
  </si>
  <si>
    <t>CONTROLE DE CÓPIAS</t>
  </si>
  <si>
    <t>MESES</t>
  </si>
  <si>
    <t>COMP.</t>
  </si>
  <si>
    <t>PG</t>
  </si>
  <si>
    <t>CONSUMIDA</t>
  </si>
  <si>
    <t>CONTRATADA</t>
  </si>
  <si>
    <t>Saldo</t>
  </si>
  <si>
    <t>média</t>
  </si>
  <si>
    <t>CONTROLE DE ÁGUA</t>
  </si>
  <si>
    <t>SERVIÇOS</t>
  </si>
  <si>
    <t>QTD CONTRATO</t>
  </si>
  <si>
    <t>QTD UTILIZADO</t>
  </si>
  <si>
    <t>Gravames</t>
  </si>
  <si>
    <t>VALOR TOTAL</t>
  </si>
  <si>
    <t>DT INÍC.</t>
  </si>
  <si>
    <t>% UTILIZADO DO VALOR TOTAL</t>
  </si>
  <si>
    <t>TOTAL PAGO</t>
  </si>
  <si>
    <t>DT FIM</t>
  </si>
  <si>
    <t>R$</t>
  </si>
  <si>
    <t>Especificação</t>
  </si>
  <si>
    <t>R$ UND</t>
  </si>
  <si>
    <t>PREV.</t>
  </si>
  <si>
    <t>REALIZ.</t>
  </si>
  <si>
    <t>Coordenação e elaboração do PPRA - Programa de Prevenção de Riscos Ambientais referente à análise dos Riscos físicos (ruído, calor, iluminação) e ergonomia (mobiliário)</t>
  </si>
  <si>
    <t>Coordenação e elaboração do PCMSO - Programa de Controle Médico de Saúde Ocupacional referente à análise do grau de risco, nº de funcionários e funções existentes no valor anual</t>
  </si>
  <si>
    <t>Exames: admissões, periódicos, exames de retorno ao trabalho, mudança de função e demissionais.</t>
  </si>
  <si>
    <t>OBS</t>
  </si>
  <si>
    <t>PRODUTO</t>
  </si>
  <si>
    <t>N° DO CONTRATO</t>
  </si>
  <si>
    <t>ACOMPANHAMENTO DE CONTRATOS
DISPENSA 1° TA-012/2019 - BB AGUA FORTE DISTRIBUIDORA DE 
BEBIDAS LTDA - ME</t>
  </si>
  <si>
    <t>CONSUMO</t>
  </si>
  <si>
    <t>QTD TOTAL</t>
  </si>
  <si>
    <t>QTD CONS.</t>
  </si>
  <si>
    <t>contrato encerrado em 21/08/19</t>
  </si>
  <si>
    <t>DESCRIÇÃO</t>
  </si>
  <si>
    <t>PLACAS IDENTIFICADORAS DE SETOR</t>
  </si>
  <si>
    <t xml:space="preserve">PLACAS DE VIDRO RECEPÇÃO </t>
  </si>
  <si>
    <t xml:space="preserve">QUADRO DE GESTÃO À VISTA PVC 140x100 </t>
  </si>
  <si>
    <t xml:space="preserve">QUADRO DE GESTÃO À VISTA PVC 110x100 </t>
  </si>
  <si>
    <t>ADESIVOS JATEADO - DIVERSOS</t>
  </si>
  <si>
    <t>ADESIVOS JATEADO - RECEPÇÃO</t>
  </si>
  <si>
    <t>ADESIVO IMPRESSO</t>
  </si>
  <si>
    <t>PAINEL DE MDF</t>
  </si>
  <si>
    <t>1° PEDIDO
R$</t>
  </si>
  <si>
    <t>2° PEDIDO
R$</t>
  </si>
  <si>
    <r>
      <t xml:space="preserve">2° PEDIDO
</t>
    </r>
    <r>
      <rPr>
        <b/>
        <sz val="8"/>
        <color rgb="FF000000"/>
        <rFont val="Calibri"/>
        <family val="2"/>
        <scheme val="minor"/>
      </rPr>
      <t>a ser realizado</t>
    </r>
  </si>
  <si>
    <r>
      <t xml:space="preserve">1° PEDIDO
</t>
    </r>
    <r>
      <rPr>
        <b/>
        <sz val="8"/>
        <color rgb="FF000000"/>
        <rFont val="Calibri"/>
        <family val="2"/>
        <scheme val="minor"/>
      </rPr>
      <t>já realizado</t>
    </r>
  </si>
  <si>
    <t>R$ - total</t>
  </si>
  <si>
    <t>Total - R$</t>
  </si>
  <si>
    <t>1°  TA 005/2018</t>
  </si>
  <si>
    <t>Competência</t>
  </si>
  <si>
    <t>pagamento</t>
  </si>
  <si>
    <t>R$ - TOTAL</t>
  </si>
  <si>
    <t>1° TA 001/2018</t>
  </si>
  <si>
    <t>Voucher</t>
  </si>
  <si>
    <t>N°</t>
  </si>
  <si>
    <t>Utilização</t>
  </si>
  <si>
    <t>Data</t>
  </si>
  <si>
    <t>PJ</t>
  </si>
  <si>
    <t>PF</t>
  </si>
  <si>
    <t>0b0edbe9790</t>
  </si>
  <si>
    <t>0b0e669e9890</t>
  </si>
  <si>
    <t>0b0e289e9990</t>
  </si>
  <si>
    <t>0b0e4c9e9a90</t>
  </si>
  <si>
    <t>0b0eb99e9b90</t>
  </si>
  <si>
    <t>0b0e149e9c90</t>
  </si>
  <si>
    <t>0b0ef09e9d90</t>
  </si>
  <si>
    <t>0b0ef39e9e90</t>
  </si>
  <si>
    <t>0b0e3b9e9f90</t>
  </si>
  <si>
    <t>0b0e559ea090</t>
  </si>
  <si>
    <t>Elly Teodosio</t>
  </si>
  <si>
    <t>MÊS comp.</t>
  </si>
  <si>
    <t>008/17</t>
  </si>
  <si>
    <t>012/17</t>
  </si>
  <si>
    <t>Total pago</t>
  </si>
  <si>
    <t>010/19</t>
  </si>
  <si>
    <t>TOTAL PEDIDO</t>
  </si>
  <si>
    <t>3º TA 007/2016</t>
  </si>
  <si>
    <t>qtd de cópia e impressão TOTAL</t>
  </si>
  <si>
    <t>VALOR - R$</t>
  </si>
  <si>
    <t>R$ UTILIZADO DO VALOR TOTAL</t>
  </si>
  <si>
    <t>valor unit</t>
  </si>
  <si>
    <t>TOTAL NF CDL</t>
  </si>
  <si>
    <t>Vigente</t>
  </si>
  <si>
    <t xml:space="preserve"> CONTRATO / ADITIVO</t>
  </si>
  <si>
    <t>004/2020</t>
  </si>
  <si>
    <t>012/2019</t>
  </si>
  <si>
    <t>003/2020</t>
  </si>
  <si>
    <t>Saldo  contrato vigente</t>
  </si>
  <si>
    <t>CONTRATO ENCERRADO</t>
  </si>
  <si>
    <t>005/2020</t>
  </si>
  <si>
    <t>011/2020</t>
  </si>
  <si>
    <t>MALHARIA ATLANTICO LTDA</t>
  </si>
  <si>
    <t>SMART TELECOMUNICAÇÕES E SERVIÇOS LTDA</t>
  </si>
  <si>
    <t>2º TA 003-A/2017</t>
  </si>
  <si>
    <t>STATUS</t>
  </si>
  <si>
    <t xml:space="preserve">CPTEC SOLUÇÕES EM TECNOLOGIA DA INFORMAÇÃO LTDA </t>
  </si>
  <si>
    <t>VALOR GLOBAL OU ANO</t>
  </si>
  <si>
    <t>MAXIFROTA SERVIÇOS DE MANUTENÇÃO DE FROTA LTDA</t>
  </si>
  <si>
    <t>PAPER BOX DISTRIBUIDORA E SERVIÇOS LTDA</t>
  </si>
  <si>
    <t>015/2020</t>
  </si>
  <si>
    <t>014/2020</t>
  </si>
  <si>
    <t>B3 S. A. – BRASIL, BOLSA, BALCÃO
POR UP2DATA</t>
  </si>
  <si>
    <t>R$ - TOTAL ANÁLISE</t>
  </si>
  <si>
    <t>TOTAL NF NEGATIVAÇÃO</t>
  </si>
  <si>
    <t>1° TA 013/2019</t>
  </si>
  <si>
    <t>1° TA 014/2019</t>
  </si>
  <si>
    <t>019/2020</t>
  </si>
  <si>
    <t xml:space="preserve">Consulta a informações de pessoas naturais e jurídicas, abrangendo Protestos, Cheques sem Fundos, Falências, Concordatas, Recuperações Judiciais e Extrajudiciais, Ações Judiciais, Pendências Financeiras, Dívidas Vencidas e Participantes em Empresas Falidas, Quadro de sócios de administradores da empresa, com os respectivos percentuais de participação, Faturamento Presumido PJ, Riskscoring 6 meses, Gasto Presumido - PJ, Risco de crédito do setor, Relatório com a situação cadastral e ocorrências de registros de negativação e informações de cheques sem fundos dos sócios e administradores da empresa. </t>
  </si>
  <si>
    <t>020/2020</t>
  </si>
  <si>
    <t>1° TA 018/2019</t>
  </si>
  <si>
    <t>TOTAL fatura CDL-já com redução do imposto de 5%</t>
  </si>
  <si>
    <t>AGE - ASJUR</t>
  </si>
  <si>
    <t>Leonardo</t>
  </si>
  <si>
    <t>Limeira</t>
  </si>
  <si>
    <t>pendente</t>
  </si>
  <si>
    <t>021/2020</t>
  </si>
  <si>
    <t>Eduardo</t>
  </si>
  <si>
    <t>Rayanna</t>
  </si>
  <si>
    <t>iniciado em 25/02/2021</t>
  </si>
  <si>
    <t>2° TA  001/2019</t>
  </si>
  <si>
    <t>4° TA 010/2017</t>
  </si>
  <si>
    <t>005A/2021</t>
  </si>
  <si>
    <t>CONSÓRCIO REDE PE CONECTADO - INEXIGIBILIDADE
ADC E PONTO DE VOZ FIXO</t>
  </si>
  <si>
    <t>003/2021</t>
  </si>
  <si>
    <t>002/2021</t>
  </si>
  <si>
    <t>2° TA 004/2019</t>
  </si>
  <si>
    <t>005/2021</t>
  </si>
  <si>
    <t>4° TA 012/2017</t>
  </si>
  <si>
    <t>Análise</t>
  </si>
  <si>
    <t>Telefonia móvel</t>
  </si>
  <si>
    <t>Custos de assistência ondont. dos  Funcionários AGEFEPE</t>
  </si>
  <si>
    <t xml:space="preserve">Manutenção dos equipamentos condicionadores de ar </t>
  </si>
  <si>
    <t xml:space="preserve">Serviço de Acesso dedicado convergente e Serviço de ponto de voz fixo </t>
  </si>
  <si>
    <t>Analise</t>
  </si>
  <si>
    <t>Diagramação e Publicação em jornal de grande circulação</t>
  </si>
  <si>
    <t>Serviço de ponto de roteamento - EXTRA REDE
Acesso dedicado convergente - ADC = VPN
Serviço de ponto de voz fixo - PONTO DE VOZ</t>
  </si>
  <si>
    <t>Conexão SISBACEN</t>
  </si>
  <si>
    <t>Telefonia celular</t>
  </si>
  <si>
    <t>ADC E PONTO DE VOZ FIXO</t>
  </si>
  <si>
    <t>Serviço de ponto de voz fixo
Serv. de tráfego extra rede da telef. Fixa  e serv. de 0800</t>
  </si>
  <si>
    <t xml:space="preserve">Publicações de Balanços </t>
  </si>
  <si>
    <t>Sistema de Folha de Pagamento</t>
  </si>
  <si>
    <t>Gravame</t>
  </si>
  <si>
    <t>Locação Veiculo - Spin</t>
  </si>
  <si>
    <t>Agência de viagens</t>
  </si>
  <si>
    <t>Sistema de CFTV</t>
  </si>
  <si>
    <t>Auditoria Independente</t>
  </si>
  <si>
    <t>TAXI - AGE</t>
  </si>
  <si>
    <t>Serviço de  Condução</t>
  </si>
  <si>
    <t>Negativação</t>
  </si>
  <si>
    <t>Custódia Qualificada</t>
  </si>
  <si>
    <t>Perícia contábil</t>
  </si>
  <si>
    <t>Vale alimentação e refeição</t>
  </si>
  <si>
    <t>Serviço de  Limpeza e Coperagem</t>
  </si>
  <si>
    <t>001/2021</t>
  </si>
  <si>
    <t>MEGADATA COMPUTAÇÕES LTDA</t>
  </si>
  <si>
    <t>CEPE - COMPANHIA EDITORA DE PERNAMBUCO</t>
  </si>
  <si>
    <t>Publicação no Diário Oficial do Estado</t>
  </si>
  <si>
    <t>004/2021</t>
  </si>
  <si>
    <t>CEPE - COMPANHIA EDITORA DE PERNAMBUCO (FILIAL)</t>
  </si>
  <si>
    <t>EQUIMAQUI - COMÉRCIO E SERVIÇOS LTDA</t>
  </si>
  <si>
    <t>006/2021</t>
  </si>
  <si>
    <t>008/2021</t>
  </si>
  <si>
    <t>RSAT SEGURANCA ELETRONICA EIRELI</t>
  </si>
  <si>
    <t xml:space="preserve"> 007/2021</t>
  </si>
  <si>
    <t>PORTES MARINHO ADVOGADOS ASSOCIADOS S/S</t>
  </si>
  <si>
    <t>013/2021</t>
  </si>
  <si>
    <t>009/2021</t>
  </si>
  <si>
    <t>ARYEROM SERVICOS DE COMUNICACAO EIRELI</t>
  </si>
  <si>
    <t>011/2021</t>
  </si>
  <si>
    <t>LS SERVIÇOS DE INFORMÁTICA E ELETRÔNICA LTDA EPP</t>
  </si>
  <si>
    <t>012/2021</t>
  </si>
  <si>
    <t>CONSULTEN – CONSULTORIA DE ENGENHARIA LTDA</t>
  </si>
  <si>
    <t>J M VIEIRA - COMERCIO DE GAS E AGUA</t>
  </si>
  <si>
    <t>014/2021</t>
  </si>
  <si>
    <t>SINQIA TECNOLOGIA LTDA</t>
  </si>
  <si>
    <t>015/2021</t>
  </si>
  <si>
    <t>JC GRAFICA E SERVIÇO LTDA</t>
  </si>
  <si>
    <t xml:space="preserve">Serviços de Registro Eletrônico para Alienação Fiduciária de veículos </t>
  </si>
  <si>
    <t>Serviços de gestão e guarda de documentos</t>
  </si>
  <si>
    <t xml:space="preserve">serviços de cobrança ativa e receptiva por telefone </t>
  </si>
  <si>
    <t>Programa Jovem Aprendiz</t>
  </si>
  <si>
    <t>CHATBOT</t>
  </si>
  <si>
    <t>Aquisição de desktops e notebooks</t>
  </si>
  <si>
    <t>Elaboração de Laudos de Avaliação de Bens Imóveis Urbanos</t>
  </si>
  <si>
    <t>Fornecimento de Água Mineral em Garrafões de 20 (vinte) litros</t>
  </si>
  <si>
    <t>Software</t>
  </si>
  <si>
    <t>Serviço gráfico de impressão de crachás - 200 unidades</t>
  </si>
  <si>
    <t xml:space="preserve"> Bolsa Auxilio- estagiários</t>
  </si>
  <si>
    <t>Locação de máquinas impressoras e fornecimento de insumos gerais</t>
  </si>
  <si>
    <t>Aquisição e Instalação de fechaduras digitais</t>
  </si>
  <si>
    <t>Assinatura digital</t>
  </si>
  <si>
    <t>Locação Veiculo - ford KA</t>
  </si>
  <si>
    <t>016/2020</t>
  </si>
  <si>
    <t>009/2020</t>
  </si>
  <si>
    <t>019/2019</t>
  </si>
  <si>
    <t>Consórcio Rede PE CONECTADO II - LOTE 2</t>
  </si>
  <si>
    <t>CLARO S/A</t>
  </si>
  <si>
    <t xml:space="preserve">CMA – CONSULTORIA, MÉTODOS E ASS. E MERCANTIL S/A </t>
  </si>
  <si>
    <t>CONSÓRCIO REDE PE CONECTADO II - LOTE I</t>
  </si>
  <si>
    <t>MD - Moura Dubeux</t>
  </si>
  <si>
    <t>TIM S.A</t>
  </si>
  <si>
    <t>ROSANGELA MARIA GERMANO 08227787428 - ROSATEC</t>
  </si>
  <si>
    <t>CDL RECIFE SERVIÇOS AOS ASSOCIADOS</t>
  </si>
  <si>
    <t>B3 S. A. – BRASIL, BOLSA, BALCÃO - UP2DATA</t>
  </si>
  <si>
    <t xml:space="preserve">PREMIUM PUBLICIDADE LTDA EPP </t>
  </si>
  <si>
    <t xml:space="preserve">REVISTA BANCÁRIA BRASILEIRA </t>
  </si>
  <si>
    <t xml:space="preserve">SOLUTI – SOLUÇÕES EM NEGÓCIOS INTELIGENTES S/A </t>
  </si>
  <si>
    <t>LOCARALPI</t>
  </si>
  <si>
    <t>CIEE - CENTRO DE INTEGRAÇÃO EMP. ESCOLA DE PE</t>
  </si>
  <si>
    <t>UNIODONTO</t>
  </si>
  <si>
    <t xml:space="preserve">CDL RECIFE SERVIÇOS AOS ASSOCIADOS </t>
  </si>
  <si>
    <t xml:space="preserve">SERASA S.A </t>
  </si>
  <si>
    <t>SERASA S.A</t>
  </si>
  <si>
    <t>Locação das salas no Empresarial Moura Dubeux - 8° andar, Salas 906 e 907</t>
  </si>
  <si>
    <t>Locação das salas no Empresarial Moura Dubeux - Salas 901 e 902</t>
  </si>
  <si>
    <t>4° Apostilamento 007/2019</t>
  </si>
  <si>
    <t>1° TA
006/2020</t>
  </si>
  <si>
    <t xml:space="preserve">SODEXO PASS DO BRASIL SERVIÇOS E COMERCIO S A </t>
  </si>
  <si>
    <t>José Roberto Santos Serviços Contábeis Eireli ME</t>
  </si>
  <si>
    <t>1° TA
007/2020</t>
  </si>
  <si>
    <t>1° TA
008/2020</t>
  </si>
  <si>
    <t xml:space="preserve"> Marcos Lira e Raphael Gomes Advogados</t>
  </si>
  <si>
    <t>Direito Tributário</t>
  </si>
  <si>
    <t>LÍDER NOTEBOOKS COMERCIO E SERVIÇOS LTDA</t>
  </si>
  <si>
    <t>Aquisição de 60 (sessenta) desktops</t>
  </si>
  <si>
    <t>1° TA
021/2019</t>
  </si>
  <si>
    <t>1° TA 
001/2020</t>
  </si>
  <si>
    <t>4º TA 
008/2017</t>
  </si>
  <si>
    <t>3º TA 
005/2018</t>
  </si>
  <si>
    <t>TRANS SERVI - TRANSPORTES E SERVIÇOS LTDA - ME</t>
  </si>
  <si>
    <t>SEC-NOR DISTRIBUIDORA DE PUBLICAÇÕES LTDA</t>
  </si>
  <si>
    <t xml:space="preserve">Serviços para pesquisa de publicações </t>
  </si>
  <si>
    <t>1° TA 
017/2019</t>
  </si>
  <si>
    <t>PRODUTIVA SAUDE OCUP. LTDA</t>
  </si>
  <si>
    <t>Medicina do Trabalho</t>
  </si>
  <si>
    <t>2° TA 
009/2019</t>
  </si>
  <si>
    <t xml:space="preserve">BRASLUSO </t>
  </si>
  <si>
    <t>2° TA 003/2019</t>
  </si>
  <si>
    <t>4º TA 
003/2017</t>
  </si>
  <si>
    <t>CASS AUDITORES</t>
  </si>
  <si>
    <t>4° TA 008/2018</t>
  </si>
  <si>
    <t>3º TA 
004/2018</t>
  </si>
  <si>
    <t xml:space="preserve">CARLOS ALBERTO DE SANTANA </t>
  </si>
  <si>
    <t xml:space="preserve">SERVAL - SERVIÇOS AUX. LTDA-ME   </t>
  </si>
  <si>
    <t>3º TA 
002/2018</t>
  </si>
  <si>
    <t>6º TA 020 / 2016</t>
  </si>
  <si>
    <t xml:space="preserve">SERVAL - SERVIÇOS AUX. LTDA-ME </t>
  </si>
  <si>
    <t>1° TA
018/2020</t>
  </si>
  <si>
    <t>4° TA 
014-A/2017</t>
  </si>
  <si>
    <t>F I INFORMÁTICA LTDA-ME - FORTES</t>
  </si>
  <si>
    <t>5° TA
013/2017</t>
  </si>
  <si>
    <t>B3 S.A.  BRASIL, BOLSA, BALCÃO
E FENASEG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</si>
</sst>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[$-416]General"/>
    <numFmt numFmtId="166" formatCode="_(&quot;R$ &quot;* #,##0.00_);_(&quot;R$ &quot;* \(#,##0.00\);_(&quot;R$ &quot;* &quot;-&quot;??_);_(@_)"/>
    <numFmt numFmtId="167" formatCode="_-* #,##0_-;\-* #,##0_-;_-* &quot;-&quot;??_-;_-@_-"/>
    <numFmt numFmtId="168" formatCode="[$-416]d\-mmm\-yy;@"/>
    <numFmt numFmtId="169" formatCode="_-* #,##0.0_-;\-* #,##0.0_-;_-* &quot;-&quot;??_-;_-@_-"/>
    <numFmt numFmtId="170" formatCode="0.0%"/>
    <numFmt numFmtId="171" formatCode="[$-416]mmm\-yy;@"/>
  </numFmts>
  <fonts count="6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8"/>
      <color rgb="FF000000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name val="Calibri"/>
      <family val="2"/>
      <scheme val="minor"/>
    </font>
    <font>
      <sz val="11"/>
      <color rgb="FF231F2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rgb="FF231F2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81"/>
      <name val="Segoe UI"/>
      <family val="2"/>
    </font>
    <font>
      <sz val="14"/>
      <color indexed="81"/>
      <name val="Segoe UI"/>
      <family val="2"/>
    </font>
    <font>
      <b/>
      <sz val="12"/>
      <color theme="1"/>
      <name val="Arial"/>
      <family val="2"/>
    </font>
    <font>
      <sz val="12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70">
    <xf numFmtId="0" fontId="0" fillId="0" borderId="0"/>
    <xf numFmtId="0" fontId="3" fillId="0" borderId="0"/>
    <xf numFmtId="44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5" applyNumberFormat="0" applyAlignment="0" applyProtection="0"/>
    <xf numFmtId="0" fontId="17" fillId="10" borderId="6" applyNumberFormat="0" applyAlignment="0" applyProtection="0"/>
    <xf numFmtId="0" fontId="18" fillId="10" borderId="5" applyNumberFormat="0" applyAlignment="0" applyProtection="0"/>
    <xf numFmtId="0" fontId="19" fillId="0" borderId="7" applyNumberFormat="0" applyFill="0" applyAlignment="0" applyProtection="0"/>
    <xf numFmtId="0" fontId="20" fillId="11" borderId="8" applyNumberFormat="0" applyAlignment="0" applyProtection="0"/>
    <xf numFmtId="0" fontId="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2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22" fillId="36" borderId="0" applyNumberFormat="0" applyBorder="0" applyAlignment="0" applyProtection="0"/>
    <xf numFmtId="165" fontId="25" fillId="0" borderId="0" applyBorder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24" fillId="0" borderId="0"/>
    <xf numFmtId="0" fontId="9" fillId="12" borderId="9" applyNumberFormat="0" applyFont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2" fillId="0" borderId="0">
      <alignment vertical="top"/>
    </xf>
    <xf numFmtId="0" fontId="32" fillId="0" borderId="0">
      <alignment vertical="top"/>
    </xf>
    <xf numFmtId="0" fontId="56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78">
    <xf numFmtId="0" fontId="0" fillId="0" borderId="0" xfId="0"/>
    <xf numFmtId="0" fontId="5" fillId="0" borderId="0" xfId="1" applyFont="1" applyFill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17" fontId="0" fillId="0" borderId="0" xfId="0" applyNumberFormat="1" applyBorder="1" applyAlignment="1">
      <alignment horizontal="right" vertical="center"/>
    </xf>
    <xf numFmtId="17" fontId="0" fillId="0" borderId="0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7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center" vertical="center"/>
    </xf>
    <xf numFmtId="17" fontId="0" fillId="4" borderId="0" xfId="0" applyNumberFormat="1" applyFill="1" applyAlignment="1">
      <alignment horizontal="right" vertical="center"/>
    </xf>
    <xf numFmtId="0" fontId="0" fillId="4" borderId="0" xfId="0" applyFill="1" applyAlignment="1">
      <alignment horizontal="left" vertical="center"/>
    </xf>
    <xf numFmtId="17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30" fillId="0" borderId="11" xfId="0" applyFont="1" applyBorder="1" applyAlignment="1">
      <alignment horizontal="center" vertical="center" wrapText="1"/>
    </xf>
    <xf numFmtId="17" fontId="0" fillId="4" borderId="0" xfId="0" applyNumberFormat="1" applyFill="1" applyAlignment="1">
      <alignment vertical="center"/>
    </xf>
    <xf numFmtId="1" fontId="0" fillId="4" borderId="0" xfId="0" applyNumberFormat="1" applyFill="1" applyAlignment="1">
      <alignment horizontal="left" vertical="center"/>
    </xf>
    <xf numFmtId="17" fontId="0" fillId="0" borderId="0" xfId="0" applyNumberFormat="1" applyAlignment="1">
      <alignment vertical="center"/>
    </xf>
    <xf numFmtId="1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11" xfId="55" applyFont="1" applyFill="1" applyBorder="1" applyAlignment="1">
      <alignment horizontal="center" vertical="center" wrapText="1"/>
    </xf>
    <xf numFmtId="0" fontId="33" fillId="0" borderId="11" xfId="64" applyFont="1" applyFill="1" applyBorder="1" applyAlignment="1">
      <alignment horizontal="justify" vertical="center" wrapText="1"/>
    </xf>
    <xf numFmtId="9" fontId="33" fillId="0" borderId="11" xfId="63" applyFont="1" applyFill="1" applyBorder="1" applyAlignment="1">
      <alignment horizontal="center" vertical="center" wrapText="1"/>
    </xf>
    <xf numFmtId="0" fontId="33" fillId="5" borderId="11" xfId="64" applyFont="1" applyFill="1" applyBorder="1" applyAlignment="1">
      <alignment horizontal="justify" vertical="center" wrapText="1"/>
    </xf>
    <xf numFmtId="44" fontId="0" fillId="0" borderId="0" xfId="3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7" fontId="0" fillId="0" borderId="11" xfId="62" applyNumberFormat="1" applyFont="1" applyBorder="1" applyAlignment="1">
      <alignment horizontal="center" vertical="center"/>
    </xf>
    <xf numFmtId="9" fontId="1" fillId="0" borderId="11" xfId="63" applyFont="1" applyBorder="1" applyAlignment="1">
      <alignment horizontal="center" vertical="center"/>
    </xf>
    <xf numFmtId="167" fontId="1" fillId="0" borderId="11" xfId="62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horizontal="left" vertical="center" wrapText="1"/>
    </xf>
    <xf numFmtId="44" fontId="37" fillId="0" borderId="11" xfId="3" applyFont="1" applyBorder="1" applyAlignment="1">
      <alignment vertical="center"/>
    </xf>
    <xf numFmtId="0" fontId="28" fillId="0" borderId="11" xfId="0" applyFont="1" applyBorder="1" applyAlignment="1">
      <alignment horizontal="center" vertical="center" wrapText="1"/>
    </xf>
    <xf numFmtId="164" fontId="38" fillId="0" borderId="11" xfId="0" applyNumberFormat="1" applyFont="1" applyBorder="1" applyAlignment="1">
      <alignment horizontal="center" vertical="center"/>
    </xf>
    <xf numFmtId="168" fontId="38" fillId="0" borderId="0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9" fontId="37" fillId="0" borderId="11" xfId="63" applyFont="1" applyBorder="1" applyAlignment="1">
      <alignment horizontal="center" vertical="center"/>
    </xf>
    <xf numFmtId="44" fontId="37" fillId="0" borderId="11" xfId="0" applyNumberFormat="1" applyFont="1" applyBorder="1" applyAlignment="1">
      <alignment vertical="center"/>
    </xf>
    <xf numFmtId="164" fontId="39" fillId="0" borderId="18" xfId="0" applyNumberFormat="1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168" fontId="37" fillId="0" borderId="11" xfId="0" applyNumberFormat="1" applyFont="1" applyBorder="1" applyAlignment="1">
      <alignment horizontal="center" vertical="center"/>
    </xf>
    <xf numFmtId="164" fontId="39" fillId="0" borderId="11" xfId="0" applyNumberFormat="1" applyFont="1" applyBorder="1" applyAlignment="1">
      <alignment horizontal="center" vertical="center" wrapText="1"/>
    </xf>
    <xf numFmtId="0" fontId="45" fillId="5" borderId="0" xfId="0" applyFont="1" applyFill="1" applyAlignment="1">
      <alignment vertical="center"/>
    </xf>
    <xf numFmtId="0" fontId="43" fillId="5" borderId="19" xfId="0" applyFont="1" applyFill="1" applyBorder="1" applyAlignment="1">
      <alignment horizontal="center" vertical="center" wrapText="1"/>
    </xf>
    <xf numFmtId="0" fontId="42" fillId="0" borderId="19" xfId="0" applyFont="1" applyBorder="1" applyAlignment="1">
      <alignment vertical="center" wrapText="1"/>
    </xf>
    <xf numFmtId="44" fontId="42" fillId="0" borderId="19" xfId="3" applyFont="1" applyBorder="1" applyAlignment="1">
      <alignment vertical="center" wrapText="1"/>
    </xf>
    <xf numFmtId="0" fontId="46" fillId="0" borderId="19" xfId="0" applyFont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44" fontId="42" fillId="0" borderId="19" xfId="3" applyFont="1" applyBorder="1" applyAlignment="1">
      <alignment horizontal="center" vertical="center" wrapText="1"/>
    </xf>
    <xf numFmtId="44" fontId="0" fillId="0" borderId="11" xfId="3" applyFont="1" applyBorder="1" applyAlignment="1">
      <alignment horizontal="center" vertical="center"/>
    </xf>
    <xf numFmtId="44" fontId="1" fillId="0" borderId="11" xfId="3" applyFont="1" applyBorder="1" applyAlignment="1">
      <alignment horizontal="center" vertical="center"/>
    </xf>
    <xf numFmtId="44" fontId="46" fillId="0" borderId="19" xfId="0" applyNumberFormat="1" applyFon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" fontId="37" fillId="0" borderId="11" xfId="0" applyNumberFormat="1" applyFont="1" applyBorder="1" applyAlignment="1">
      <alignment horizontal="center" vertical="center" wrapText="1"/>
    </xf>
    <xf numFmtId="0" fontId="37" fillId="0" borderId="11" xfId="0" applyNumberFormat="1" applyFont="1" applyBorder="1" applyAlignment="1">
      <alignment horizontal="center" vertical="center"/>
    </xf>
    <xf numFmtId="17" fontId="37" fillId="0" borderId="11" xfId="0" applyNumberFormat="1" applyFont="1" applyBorder="1" applyAlignment="1">
      <alignment vertical="center"/>
    </xf>
    <xf numFmtId="44" fontId="7" fillId="0" borderId="11" xfId="3" applyFont="1" applyFill="1" applyBorder="1" applyAlignment="1">
      <alignment horizontal="center" vertical="center"/>
    </xf>
    <xf numFmtId="44" fontId="47" fillId="0" borderId="11" xfId="3" applyFont="1" applyFill="1" applyBorder="1" applyAlignment="1">
      <alignment horizontal="center" vertical="center" wrapText="1"/>
    </xf>
    <xf numFmtId="44" fontId="7" fillId="0" borderId="11" xfId="0" applyNumberFormat="1" applyFont="1" applyFill="1" applyBorder="1" applyAlignment="1">
      <alignment horizontal="center" vertical="center"/>
    </xf>
    <xf numFmtId="44" fontId="48" fillId="0" borderId="11" xfId="0" applyNumberFormat="1" applyFont="1" applyFill="1" applyBorder="1" applyAlignment="1">
      <alignment horizontal="center" vertical="center"/>
    </xf>
    <xf numFmtId="0" fontId="49" fillId="0" borderId="15" xfId="0" applyFont="1" applyBorder="1" applyAlignment="1">
      <alignment vertical="center"/>
    </xf>
    <xf numFmtId="0" fontId="31" fillId="0" borderId="15" xfId="0" applyFont="1" applyBorder="1" applyAlignment="1">
      <alignment horizontal="center" vertical="center"/>
    </xf>
    <xf numFmtId="44" fontId="0" fillId="0" borderId="15" xfId="3" applyFont="1" applyBorder="1"/>
    <xf numFmtId="44" fontId="31" fillId="0" borderId="15" xfId="0" applyNumberFormat="1" applyFont="1" applyBorder="1" applyAlignment="1">
      <alignment horizontal="center" vertical="center"/>
    </xf>
    <xf numFmtId="168" fontId="37" fillId="0" borderId="0" xfId="0" applyNumberFormat="1" applyFont="1" applyBorder="1" applyAlignment="1">
      <alignment horizontal="center" vertical="center"/>
    </xf>
    <xf numFmtId="44" fontId="37" fillId="0" borderId="15" xfId="3" applyFont="1" applyBorder="1" applyAlignment="1">
      <alignment vertical="center"/>
    </xf>
    <xf numFmtId="44" fontId="37" fillId="0" borderId="15" xfId="0" applyNumberFormat="1" applyFont="1" applyBorder="1" applyAlignment="1">
      <alignment vertical="center"/>
    </xf>
    <xf numFmtId="0" fontId="28" fillId="0" borderId="15" xfId="0" applyFont="1" applyBorder="1" applyAlignment="1">
      <alignment horizontal="left" vertical="center" wrapText="1"/>
    </xf>
    <xf numFmtId="0" fontId="42" fillId="0" borderId="15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9" fontId="37" fillId="0" borderId="15" xfId="63" applyFont="1" applyBorder="1" applyAlignment="1">
      <alignment horizontal="center" vertical="center"/>
    </xf>
    <xf numFmtId="0" fontId="51" fillId="0" borderId="25" xfId="0" applyFont="1" applyFill="1" applyBorder="1" applyAlignment="1">
      <alignment horizontal="right" vertical="center"/>
    </xf>
    <xf numFmtId="0" fontId="1" fillId="0" borderId="0" xfId="0" applyFont="1"/>
    <xf numFmtId="4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44" fontId="0" fillId="0" borderId="0" xfId="3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17" fontId="0" fillId="0" borderId="11" xfId="0" applyNumberFormat="1" applyBorder="1" applyAlignment="1">
      <alignment horizontal="right" vertical="center"/>
    </xf>
    <xf numFmtId="0" fontId="28" fillId="0" borderId="11" xfId="0" applyFont="1" applyBorder="1" applyAlignment="1">
      <alignment horizontal="center" vertical="center" wrapText="1"/>
    </xf>
    <xf numFmtId="44" fontId="39" fillId="0" borderId="11" xfId="3" applyFont="1" applyFill="1" applyBorder="1" applyAlignment="1">
      <alignment horizontal="center" vertical="center"/>
    </xf>
    <xf numFmtId="44" fontId="39" fillId="0" borderId="11" xfId="0" applyNumberFormat="1" applyFont="1" applyFill="1" applyBorder="1" applyAlignment="1">
      <alignment horizontal="center" vertical="center"/>
    </xf>
    <xf numFmtId="44" fontId="37" fillId="0" borderId="0" xfId="3" applyFont="1" applyAlignment="1">
      <alignment vertical="center"/>
    </xf>
    <xf numFmtId="0" fontId="52" fillId="0" borderId="11" xfId="0" applyFont="1" applyBorder="1" applyAlignment="1">
      <alignment horizontal="left" vertical="center" wrapText="1"/>
    </xf>
    <xf numFmtId="44" fontId="1" fillId="0" borderId="11" xfId="0" applyNumberFormat="1" applyFont="1" applyBorder="1" applyAlignment="1">
      <alignment vertical="center"/>
    </xf>
    <xf numFmtId="0" fontId="28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44" fontId="0" fillId="0" borderId="15" xfId="3" applyFont="1" applyBorder="1" applyAlignment="1">
      <alignment horizontal="center" vertical="center"/>
    </xf>
    <xf numFmtId="17" fontId="0" fillId="0" borderId="15" xfId="0" applyNumberForma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 wrapText="1"/>
    </xf>
    <xf numFmtId="0" fontId="28" fillId="0" borderId="11" xfId="0" applyFont="1" applyBorder="1" applyAlignment="1">
      <alignment horizontal="center" vertical="center" wrapText="1"/>
    </xf>
    <xf numFmtId="44" fontId="8" fillId="0" borderId="11" xfId="3" applyFont="1" applyBorder="1" applyAlignment="1">
      <alignment horizontal="center" vertical="center"/>
    </xf>
    <xf numFmtId="17" fontId="8" fillId="0" borderId="11" xfId="0" applyNumberFormat="1" applyFont="1" applyBorder="1" applyAlignment="1">
      <alignment horizontal="center" vertical="center" wrapText="1"/>
    </xf>
    <xf numFmtId="164" fontId="8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1" xfId="1" applyNumberFormat="1" applyFont="1" applyBorder="1" applyAlignment="1" applyProtection="1">
      <alignment horizontal="center" vertical="center" wrapText="1"/>
      <protection locked="0"/>
    </xf>
    <xf numFmtId="0" fontId="41" fillId="0" borderId="11" xfId="0" applyFont="1" applyBorder="1" applyAlignment="1">
      <alignment horizontal="left" vertical="center" wrapText="1"/>
    </xf>
    <xf numFmtId="44" fontId="0" fillId="0" borderId="0" xfId="3" applyFont="1" applyBorder="1" applyAlignment="1">
      <alignment horizontal="center" vertical="center"/>
    </xf>
    <xf numFmtId="44" fontId="37" fillId="0" borderId="11" xfId="3" applyFont="1" applyBorder="1" applyAlignment="1">
      <alignment horizontal="center" vertical="center"/>
    </xf>
    <xf numFmtId="0" fontId="39" fillId="0" borderId="1" xfId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37" fillId="0" borderId="1" xfId="1" applyNumberFormat="1" applyFont="1" applyBorder="1" applyAlignment="1" applyProtection="1">
      <alignment horizontal="center" vertical="center" wrapText="1"/>
      <protection locked="0"/>
    </xf>
    <xf numFmtId="44" fontId="39" fillId="0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0" borderId="11" xfId="3" applyFont="1" applyBorder="1" applyAlignment="1">
      <alignment vertical="center"/>
    </xf>
    <xf numFmtId="17" fontId="0" fillId="5" borderId="11" xfId="0" applyNumberFormat="1" applyFill="1" applyBorder="1" applyAlignment="1">
      <alignment horizontal="right" vertical="center"/>
    </xf>
    <xf numFmtId="17" fontId="0" fillId="5" borderId="11" xfId="0" applyNumberFormat="1" applyFill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164" fontId="37" fillId="0" borderId="1" xfId="1" applyNumberFormat="1" applyFont="1" applyFill="1" applyBorder="1" applyAlignment="1" applyProtection="1">
      <alignment horizontal="center" vertical="center" wrapText="1"/>
      <protection locked="0"/>
    </xf>
    <xf numFmtId="17" fontId="0" fillId="0" borderId="11" xfId="0" applyNumberFormat="1" applyFill="1" applyBorder="1" applyAlignment="1">
      <alignment vertical="center"/>
    </xf>
    <xf numFmtId="1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44" fontId="31" fillId="0" borderId="2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9" fontId="0" fillId="0" borderId="0" xfId="63" applyFont="1" applyAlignment="1">
      <alignment vertical="center"/>
    </xf>
    <xf numFmtId="0" fontId="54" fillId="0" borderId="11" xfId="0" applyFont="1" applyBorder="1" applyAlignment="1">
      <alignment horizontal="center" vertical="center" wrapText="1"/>
    </xf>
    <xf numFmtId="9" fontId="53" fillId="0" borderId="11" xfId="63" applyFont="1" applyBorder="1" applyAlignment="1">
      <alignment horizontal="center" vertical="center"/>
    </xf>
    <xf numFmtId="44" fontId="53" fillId="0" borderId="11" xfId="63" applyNumberFormat="1" applyFont="1" applyBorder="1" applyAlignment="1">
      <alignment horizontal="center" vertical="center"/>
    </xf>
    <xf numFmtId="44" fontId="53" fillId="0" borderId="11" xfId="0" applyNumberFormat="1" applyFont="1" applyBorder="1" applyAlignment="1">
      <alignment vertical="center"/>
    </xf>
    <xf numFmtId="167" fontId="53" fillId="0" borderId="11" xfId="62" applyNumberFormat="1" applyFont="1" applyBorder="1" applyAlignment="1">
      <alignment horizontal="center" vertical="center"/>
    </xf>
    <xf numFmtId="168" fontId="53" fillId="0" borderId="11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0" fontId="37" fillId="0" borderId="0" xfId="0" applyFont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44" fontId="53" fillId="0" borderId="11" xfId="3" applyFont="1" applyBorder="1" applyAlignment="1">
      <alignment horizontal="center" vertical="center"/>
    </xf>
    <xf numFmtId="44" fontId="53" fillId="0" borderId="11" xfId="0" applyNumberFormat="1" applyFont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164" fontId="27" fillId="0" borderId="1" xfId="0" applyNumberFormat="1" applyFont="1" applyFill="1" applyBorder="1" applyAlignment="1" applyProtection="1">
      <alignment horizontal="center" vertical="center" wrapText="1"/>
    </xf>
    <xf numFmtId="44" fontId="0" fillId="4" borderId="11" xfId="3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 wrapText="1"/>
    </xf>
    <xf numFmtId="164" fontId="27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 wrapText="1"/>
    </xf>
    <xf numFmtId="0" fontId="28" fillId="0" borderId="11" xfId="0" applyFont="1" applyBorder="1" applyAlignment="1">
      <alignment horizontal="center" vertical="center" wrapText="1"/>
    </xf>
    <xf numFmtId="0" fontId="27" fillId="0" borderId="0" xfId="1" applyFont="1" applyFill="1" applyAlignment="1">
      <alignment vertical="center" wrapText="1"/>
    </xf>
    <xf numFmtId="44" fontId="9" fillId="5" borderId="1" xfId="3" applyFont="1" applyFill="1" applyBorder="1" applyAlignment="1">
      <alignment horizontal="center" vertical="center" wrapText="1"/>
    </xf>
    <xf numFmtId="164" fontId="55" fillId="5" borderId="1" xfId="0" applyNumberFormat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 wrapText="1"/>
    </xf>
    <xf numFmtId="44" fontId="0" fillId="0" borderId="0" xfId="0" applyNumberFormat="1" applyBorder="1" applyAlignment="1">
      <alignment horizontal="center" vertical="center"/>
    </xf>
    <xf numFmtId="44" fontId="53" fillId="0" borderId="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28" fillId="0" borderId="11" xfId="0" applyFon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164" fontId="55" fillId="5" borderId="1" xfId="66" applyNumberFormat="1" applyFont="1" applyFill="1" applyBorder="1" applyAlignment="1">
      <alignment horizontal="center" vertical="center" wrapText="1"/>
    </xf>
    <xf numFmtId="9" fontId="0" fillId="0" borderId="0" xfId="63" applyFont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164" fontId="0" fillId="4" borderId="15" xfId="0" applyNumberFormat="1" applyFill="1" applyBorder="1" applyAlignment="1">
      <alignment horizontal="center" vertical="center"/>
    </xf>
    <xf numFmtId="17" fontId="0" fillId="38" borderId="15" xfId="0" applyNumberFormat="1" applyFill="1" applyBorder="1" applyAlignment="1">
      <alignment horizontal="center" vertical="center"/>
    </xf>
    <xf numFmtId="44" fontId="0" fillId="38" borderId="15" xfId="3" applyFont="1" applyFill="1" applyBorder="1" applyAlignment="1">
      <alignment horizontal="center" vertical="center"/>
    </xf>
    <xf numFmtId="164" fontId="0" fillId="38" borderId="15" xfId="0" applyNumberFormat="1" applyFill="1" applyBorder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60" fillId="0" borderId="1" xfId="0" applyFont="1" applyBorder="1" applyAlignment="1" applyProtection="1">
      <alignment horizontal="center" vertical="center"/>
    </xf>
    <xf numFmtId="0" fontId="55" fillId="0" borderId="1" xfId="0" applyFont="1" applyFill="1" applyBorder="1" applyAlignment="1">
      <alignment horizontal="center" vertical="center" wrapText="1"/>
    </xf>
    <xf numFmtId="0" fontId="63" fillId="2" borderId="1" xfId="1" applyFont="1" applyFill="1" applyBorder="1" applyAlignment="1">
      <alignment horizontal="center" vertical="center" wrapText="1"/>
    </xf>
    <xf numFmtId="0" fontId="55" fillId="0" borderId="0" xfId="1" applyFont="1" applyFill="1" applyAlignment="1">
      <alignment horizontal="center" vertical="center" wrapText="1"/>
    </xf>
    <xf numFmtId="164" fontId="60" fillId="5" borderId="1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64" fillId="0" borderId="0" xfId="1" applyFont="1" applyFill="1" applyAlignment="1">
      <alignment vertical="center" wrapText="1"/>
    </xf>
    <xf numFmtId="0" fontId="64" fillId="0" borderId="0" xfId="0" applyFont="1" applyFill="1" applyAlignment="1">
      <alignment vertical="center" wrapText="1"/>
    </xf>
    <xf numFmtId="0" fontId="60" fillId="0" borderId="1" xfId="0" applyFont="1" applyBorder="1" applyAlignment="1">
      <alignment horizontal="center" vertical="center" wrapText="1"/>
    </xf>
    <xf numFmtId="164" fontId="60" fillId="0" borderId="1" xfId="0" applyNumberFormat="1" applyFont="1" applyFill="1" applyBorder="1" applyAlignment="1">
      <alignment horizontal="center" vertical="center" wrapText="1"/>
    </xf>
    <xf numFmtId="164" fontId="60" fillId="0" borderId="1" xfId="0" applyNumberFormat="1" applyFont="1" applyBorder="1" applyAlignment="1" applyProtection="1">
      <alignment horizontal="center" vertical="center" wrapText="1"/>
      <protection locked="0"/>
    </xf>
    <xf numFmtId="164" fontId="55" fillId="0" borderId="1" xfId="0" applyNumberFormat="1" applyFont="1" applyFill="1" applyBorder="1" applyAlignment="1">
      <alignment horizontal="center" vertical="center" wrapText="1"/>
    </xf>
    <xf numFmtId="44" fontId="60" fillId="0" borderId="1" xfId="3" applyFont="1" applyFill="1" applyBorder="1" applyAlignment="1" applyProtection="1">
      <alignment horizontal="center" vertical="center" wrapText="1"/>
    </xf>
    <xf numFmtId="44" fontId="63" fillId="2" borderId="1" xfId="3" applyFont="1" applyFill="1" applyBorder="1" applyAlignment="1">
      <alignment horizontal="center" vertical="center" wrapText="1"/>
    </xf>
    <xf numFmtId="0" fontId="60" fillId="0" borderId="1" xfId="1" applyFont="1" applyFill="1" applyBorder="1" applyAlignment="1">
      <alignment horizontal="center" vertical="center"/>
    </xf>
    <xf numFmtId="0" fontId="60" fillId="0" borderId="1" xfId="0" applyFont="1" applyFill="1" applyBorder="1" applyAlignment="1" applyProtection="1">
      <alignment horizontal="center" vertical="center" wrapText="1"/>
    </xf>
    <xf numFmtId="44" fontId="55" fillId="5" borderId="1" xfId="3" applyFont="1" applyFill="1" applyBorder="1" applyAlignment="1">
      <alignment horizontal="center" vertical="center" wrapText="1"/>
    </xf>
    <xf numFmtId="164" fontId="60" fillId="39" borderId="1" xfId="0" applyNumberFormat="1" applyFont="1" applyFill="1" applyBorder="1" applyAlignment="1" applyProtection="1">
      <alignment horizontal="center" vertical="center" wrapText="1"/>
    </xf>
    <xf numFmtId="0" fontId="60" fillId="0" borderId="1" xfId="0" applyFont="1" applyBorder="1" applyAlignment="1" applyProtection="1">
      <alignment horizontal="center" vertical="center" wrapText="1"/>
    </xf>
    <xf numFmtId="164" fontId="60" fillId="0" borderId="1" xfId="0" applyNumberFormat="1" applyFont="1" applyFill="1" applyBorder="1" applyAlignment="1" applyProtection="1">
      <alignment horizontal="center" vertical="center" wrapText="1"/>
    </xf>
    <xf numFmtId="49" fontId="55" fillId="0" borderId="1" xfId="0" applyNumberFormat="1" applyFont="1" applyBorder="1" applyAlignment="1" applyProtection="1">
      <alignment horizontal="center" vertical="center" wrapText="1"/>
    </xf>
    <xf numFmtId="0" fontId="63" fillId="5" borderId="1" xfId="0" applyFont="1" applyFill="1" applyBorder="1" applyAlignment="1">
      <alignment horizontal="center" vertical="center" wrapText="1"/>
    </xf>
    <xf numFmtId="0" fontId="60" fillId="0" borderId="0" xfId="1" applyFont="1" applyFill="1" applyAlignment="1">
      <alignment horizontal="center" vertical="center" wrapText="1"/>
    </xf>
    <xf numFmtId="0" fontId="60" fillId="0" borderId="0" xfId="1" applyFont="1" applyFill="1" applyAlignment="1">
      <alignment vertical="center" wrapText="1"/>
    </xf>
    <xf numFmtId="164" fontId="60" fillId="0" borderId="0" xfId="1" applyNumberFormat="1" applyFont="1" applyFill="1" applyAlignment="1">
      <alignment vertical="center" wrapText="1"/>
    </xf>
    <xf numFmtId="44" fontId="60" fillId="0" borderId="0" xfId="3" applyFont="1" applyFill="1" applyAlignment="1">
      <alignment horizontal="center" vertical="center" wrapText="1"/>
    </xf>
    <xf numFmtId="171" fontId="64" fillId="0" borderId="0" xfId="1" applyNumberFormat="1" applyFont="1" applyFill="1" applyAlignment="1">
      <alignment vertical="center" wrapText="1"/>
    </xf>
    <xf numFmtId="44" fontId="55" fillId="0" borderId="1" xfId="3" applyFont="1" applyFill="1" applyBorder="1" applyAlignment="1">
      <alignment horizontal="center" vertical="center" wrapText="1"/>
    </xf>
    <xf numFmtId="0" fontId="60" fillId="0" borderId="0" xfId="1" applyFont="1" applyFill="1" applyBorder="1" applyAlignment="1">
      <alignment vertical="center" wrapText="1"/>
    </xf>
    <xf numFmtId="0" fontId="23" fillId="0" borderId="0" xfId="1" applyFont="1" applyFill="1" applyBorder="1" applyAlignment="1">
      <alignment horizontal="right" vertical="center" wrapText="1"/>
    </xf>
    <xf numFmtId="164" fontId="6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0" fillId="5" borderId="1" xfId="1" applyFont="1" applyFill="1" applyBorder="1" applyAlignment="1" applyProtection="1">
      <alignment horizontal="center" vertical="center" wrapText="1"/>
    </xf>
    <xf numFmtId="0" fontId="60" fillId="5" borderId="1" xfId="0" applyFont="1" applyFill="1" applyBorder="1" applyAlignment="1" applyProtection="1">
      <alignment horizontal="center" vertical="center" wrapText="1"/>
    </xf>
    <xf numFmtId="0" fontId="23" fillId="5" borderId="0" xfId="1" applyFont="1" applyFill="1" applyBorder="1" applyAlignment="1">
      <alignment horizontal="right" vertical="center" wrapText="1"/>
    </xf>
    <xf numFmtId="0" fontId="60" fillId="5" borderId="0" xfId="1" applyFont="1" applyFill="1" applyAlignment="1">
      <alignment vertical="center" wrapText="1"/>
    </xf>
    <xf numFmtId="44" fontId="60" fillId="5" borderId="0" xfId="3" applyFont="1" applyFill="1" applyAlignment="1">
      <alignment horizontal="center" vertical="center" wrapText="1"/>
    </xf>
    <xf numFmtId="0" fontId="59" fillId="5" borderId="1" xfId="0" applyFont="1" applyFill="1" applyBorder="1" applyAlignment="1" applyProtection="1">
      <alignment horizontal="center" vertical="center" wrapText="1"/>
    </xf>
    <xf numFmtId="0" fontId="59" fillId="5" borderId="1" xfId="0" applyFont="1" applyFill="1" applyBorder="1" applyAlignment="1">
      <alignment horizontal="center" vertical="center" wrapText="1"/>
    </xf>
    <xf numFmtId="0" fontId="55" fillId="5" borderId="0" xfId="1" applyFont="1" applyFill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0" fillId="3" borderId="29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3" fillId="5" borderId="19" xfId="0" applyFont="1" applyFill="1" applyBorder="1" applyAlignment="1">
      <alignment horizontal="center" vertical="center" wrapText="1"/>
    </xf>
    <xf numFmtId="0" fontId="44" fillId="5" borderId="20" xfId="0" applyFont="1" applyFill="1" applyBorder="1" applyAlignment="1">
      <alignment horizontal="center" vertical="center"/>
    </xf>
    <xf numFmtId="0" fontId="44" fillId="5" borderId="21" xfId="0" applyFont="1" applyFill="1" applyBorder="1" applyAlignment="1">
      <alignment horizontal="center" vertical="center"/>
    </xf>
    <xf numFmtId="0" fontId="44" fillId="5" borderId="22" xfId="0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34" fillId="37" borderId="11" xfId="55" applyFont="1" applyFill="1" applyBorder="1" applyAlignment="1">
      <alignment horizontal="right" vertical="center" wrapText="1"/>
    </xf>
    <xf numFmtId="0" fontId="36" fillId="37" borderId="12" xfId="55" applyFont="1" applyFill="1" applyBorder="1" applyAlignment="1">
      <alignment horizontal="right" vertical="center" wrapText="1"/>
    </xf>
    <xf numFmtId="0" fontId="36" fillId="37" borderId="16" xfId="55" applyFont="1" applyFill="1" applyBorder="1" applyAlignment="1">
      <alignment horizontal="right" vertical="center" wrapText="1"/>
    </xf>
    <xf numFmtId="0" fontId="36" fillId="37" borderId="14" xfId="55" applyFont="1" applyFill="1" applyBorder="1" applyAlignment="1">
      <alignment horizontal="right" vertical="center" wrapText="1"/>
    </xf>
  </cellXfs>
  <cellStyles count="70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Excel Built-in Normal" xfId="43"/>
    <cellStyle name="Incorreto" xfId="9" builtinId="27" customBuiltin="1"/>
    <cellStyle name="Moeda" xfId="3" builtinId="4"/>
    <cellStyle name="Moeda 2" xfId="2"/>
    <cellStyle name="Moeda 2 2" xfId="45"/>
    <cellStyle name="Moeda 2 3" xfId="69"/>
    <cellStyle name="Moeda 3" xfId="46"/>
    <cellStyle name="Moeda 4" xfId="47"/>
    <cellStyle name="Moeda 4 2" xfId="48"/>
    <cellStyle name="Moeda 5" xfId="44"/>
    <cellStyle name="Moeda 6" xfId="67"/>
    <cellStyle name="Neutra" xfId="10" builtinId="28" customBuiltin="1"/>
    <cellStyle name="Normal" xfId="0" builtinId="0"/>
    <cellStyle name="Normal 2" xfId="1"/>
    <cellStyle name="Normal 2 2" xfId="49"/>
    <cellStyle name="Normal 2 2 2" xfId="50"/>
    <cellStyle name="Normal 2 3" xfId="64"/>
    <cellStyle name="Normal 3" xfId="51"/>
    <cellStyle name="Normal 3 2" xfId="65"/>
    <cellStyle name="Normal 4" xfId="52"/>
    <cellStyle name="Normal 5" xfId="53"/>
    <cellStyle name="Normal 5 2" xfId="54"/>
    <cellStyle name="Normal 6" xfId="66"/>
    <cellStyle name="Normal_Plan1" xfId="55"/>
    <cellStyle name="Nota 2" xfId="56"/>
    <cellStyle name="Porcentagem" xfId="63" builtinId="5"/>
    <cellStyle name="Porcentagem 2" xfId="57"/>
    <cellStyle name="Porcentagem 2 2" xfId="58"/>
    <cellStyle name="Saída" xfId="12" builtinId="21" customBuiltin="1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59"/>
    <cellStyle name="Total" xfId="18" builtinId="25" customBuiltin="1"/>
    <cellStyle name="Vírgula" xfId="62" builtinId="3"/>
    <cellStyle name="Vírgula 2" xfId="60"/>
    <cellStyle name="Vírgula 3" xfId="61"/>
    <cellStyle name="Vírgula 4" xfId="68"/>
  </cellStyles>
  <dxfs count="131">
    <dxf>
      <font>
        <color auto="1"/>
      </font>
      <fill>
        <patternFill>
          <bgColor theme="2" tint="-0.24994659260841701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100"/>
              <a:t>BB AGUA FORTE DISTRIBUIDORA DE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100"/>
              <a:t>BEBIDAS LTDA - ME - qtd de água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ÁGUA!$B$87:$B$98</c:f>
              <c:numCache>
                <c:formatCode>mmm\-yy</c:formatCode>
                <c:ptCount val="12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</c:numCache>
            </c:numRef>
          </c:cat>
          <c:val>
            <c:numRef>
              <c:f>ÁGUA!$C$87:$C$98</c:f>
              <c:numCache>
                <c:formatCode>General</c:formatCode>
                <c:ptCount val="12"/>
                <c:pt idx="0">
                  <c:v>33</c:v>
                </c:pt>
                <c:pt idx="1">
                  <c:v>68</c:v>
                </c:pt>
                <c:pt idx="2">
                  <c:v>57</c:v>
                </c:pt>
                <c:pt idx="3">
                  <c:v>54</c:v>
                </c:pt>
                <c:pt idx="4">
                  <c:v>67</c:v>
                </c:pt>
                <c:pt idx="5">
                  <c:v>51</c:v>
                </c:pt>
                <c:pt idx="6">
                  <c:v>52</c:v>
                </c:pt>
                <c:pt idx="7">
                  <c:v>60</c:v>
                </c:pt>
                <c:pt idx="8">
                  <c:v>66</c:v>
                </c:pt>
                <c:pt idx="9">
                  <c:v>52</c:v>
                </c:pt>
                <c:pt idx="10">
                  <c:v>63</c:v>
                </c:pt>
                <c:pt idx="1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5-46EF-B9C9-F4153A976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399864"/>
        <c:axId val="243725712"/>
      </c:barChart>
      <c:dateAx>
        <c:axId val="5273998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43725712"/>
        <c:crosses val="autoZero"/>
        <c:auto val="1"/>
        <c:lblOffset val="100"/>
        <c:baseTimeUnit val="months"/>
      </c:dateAx>
      <c:valAx>
        <c:axId val="24372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739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>
      <c:oddHeader>&amp;C&amp;"-,Negrito"&amp;12ACOMPANHAMENTO DE CONTRATOS
DISPENSA 012/2018 - BB AGUA FORTE DISTRIBUIDORA DE 
BEBIDAS LTDA - ME</c:oddHeader>
    </c:headerFooter>
    <c:pageMargins b="0.78740157499999996" l="0.511811024" r="0.511811024" t="0.78740157499999996" header="0.31496062000000047" footer="0.31496062000000047"/>
    <c:pageSetup paperSize="9" orientation="landscape" horizontalDpi="-2" verticalDpi="-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100"/>
              <a:t>BB AGUA FORTE DISTRIBUIDORA DE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100"/>
              <a:t>BEBIDAS LTDA - ME - qtd de água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ÁGUA!$B$48:$B$50</c:f>
              <c:numCache>
                <c:formatCode>mmm\-yy</c:formatCode>
                <c:ptCount val="3"/>
                <c:pt idx="0">
                  <c:v>43647</c:v>
                </c:pt>
                <c:pt idx="1">
                  <c:v>43678</c:v>
                </c:pt>
                <c:pt idx="2">
                  <c:v>43678</c:v>
                </c:pt>
              </c:numCache>
            </c:numRef>
          </c:cat>
          <c:val>
            <c:numRef>
              <c:f>ÁGUA!$C$48:$C$50</c:f>
              <c:numCache>
                <c:formatCode>General</c:formatCode>
                <c:ptCount val="3"/>
                <c:pt idx="0">
                  <c:v>56</c:v>
                </c:pt>
                <c:pt idx="1">
                  <c:v>20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D97-9CC1-29BE6E5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070120"/>
        <c:axId val="526975880"/>
      </c:barChart>
      <c:dateAx>
        <c:axId val="2450701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6975880"/>
        <c:crosses val="autoZero"/>
        <c:auto val="1"/>
        <c:lblOffset val="100"/>
        <c:baseTimeUnit val="months"/>
      </c:dateAx>
      <c:valAx>
        <c:axId val="52697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45070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>
      <c:oddHeader>&amp;C&amp;"-,Negrito"&amp;12ACOMPANHAMENTO DE CONTRATOS
DISPENSA 012/2018 - BB AGUA FORTE DISTRIBUIDORA DE 
BEBIDAS LTDA - ME</c:oddHeader>
    </c:headerFooter>
    <c:pageMargins b="0.78740157499999996" l="0.511811024" r="0.511811024" t="0.78740157499999996" header="0.31496062000000047" footer="0.31496062000000047"/>
    <c:pageSetup paperSize="9" orientation="landscape" horizontalDpi="-2" vertic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100" b="1"/>
              <a:t>Cyro</a:t>
            </a:r>
            <a:r>
              <a:rPr lang="pt-BR" sz="1100" b="1" baseline="0"/>
              <a:t> M da Fonte Comércio de Água LTDA</a:t>
            </a:r>
            <a:endParaRPr lang="pt-BR" sz="11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502368131685687"/>
          <c:y val="0.12713870022127038"/>
          <c:w val="0.82092734172490833"/>
          <c:h val="0.6743444014454307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ÁGUA!$D$5</c:f>
              <c:strCache>
                <c:ptCount val="1"/>
                <c:pt idx="0">
                  <c:v>R$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ÁGUA!$B$6:$B$17</c:f>
              <c:numCache>
                <c:formatCode>mmm\-yy</c:formatCode>
                <c:ptCount val="12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</c:numCache>
            </c:numRef>
          </c:cat>
          <c:val>
            <c:numRef>
              <c:f>ÁGUA!$D$6:$D$17</c:f>
              <c:numCache>
                <c:formatCode>_("R$"* #,##0.00_);_("R$"* \(#,##0.00\);_("R$"* "-"??_);_(@_)</c:formatCode>
                <c:ptCount val="12"/>
                <c:pt idx="0">
                  <c:v>193.5</c:v>
                </c:pt>
                <c:pt idx="1">
                  <c:v>234</c:v>
                </c:pt>
                <c:pt idx="2">
                  <c:v>279</c:v>
                </c:pt>
                <c:pt idx="3">
                  <c:v>220.5</c:v>
                </c:pt>
                <c:pt idx="4">
                  <c:v>247.5</c:v>
                </c:pt>
                <c:pt idx="5">
                  <c:v>252</c:v>
                </c:pt>
                <c:pt idx="6">
                  <c:v>247.5</c:v>
                </c:pt>
                <c:pt idx="7">
                  <c:v>184.5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2-4ECF-99A1-C2A8B0AB2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835632"/>
        <c:axId val="243573824"/>
      </c:barChart>
      <c:lineChart>
        <c:grouping val="stacked"/>
        <c:varyColors val="0"/>
        <c:ser>
          <c:idx val="0"/>
          <c:order val="0"/>
          <c:tx>
            <c:strRef>
              <c:f>ÁGUA!$C$5</c:f>
              <c:strCache>
                <c:ptCount val="1"/>
                <c:pt idx="0">
                  <c:v>Qtd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ÁGUA!$B$6:$B$17</c:f>
              <c:numCache>
                <c:formatCode>mmm\-yy</c:formatCode>
                <c:ptCount val="12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</c:numCache>
            </c:numRef>
          </c:cat>
          <c:val>
            <c:numRef>
              <c:f>ÁGUA!$C$6:$C$17</c:f>
              <c:numCache>
                <c:formatCode>General</c:formatCode>
                <c:ptCount val="12"/>
                <c:pt idx="0">
                  <c:v>43</c:v>
                </c:pt>
                <c:pt idx="1">
                  <c:v>52</c:v>
                </c:pt>
                <c:pt idx="2">
                  <c:v>62</c:v>
                </c:pt>
                <c:pt idx="3">
                  <c:v>49</c:v>
                </c:pt>
                <c:pt idx="4">
                  <c:v>55</c:v>
                </c:pt>
                <c:pt idx="5">
                  <c:v>56</c:v>
                </c:pt>
                <c:pt idx="6">
                  <c:v>55</c:v>
                </c:pt>
                <c:pt idx="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2-4ECF-99A1-C2A8B0AB2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225224"/>
        <c:axId val="245090848"/>
      </c:lineChart>
      <c:dateAx>
        <c:axId val="5268356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43573824"/>
        <c:crosses val="autoZero"/>
        <c:auto val="1"/>
        <c:lblOffset val="100"/>
        <c:baseTimeUnit val="months"/>
      </c:dateAx>
      <c:valAx>
        <c:axId val="24357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6835632"/>
        <c:crosses val="autoZero"/>
        <c:crossBetween val="between"/>
      </c:valAx>
      <c:valAx>
        <c:axId val="2450908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43225224"/>
        <c:crosses val="max"/>
        <c:crossBetween val="between"/>
      </c:valAx>
      <c:dateAx>
        <c:axId val="24322522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450908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>
      <c:oddHeader>&amp;C&amp;"-,Negrito"&amp;12ACOMPANHAMENTO DE CONTRATOS
DISPENSA 012/2018 - BB AGUA FORTE DISTRIBUIDORA DE 
BEBIDAS LTDA - ME</c:oddHeader>
    </c:headerFooter>
    <c:pageMargins b="0.78740157499999996" l="0.511811024" r="0.511811024" t="0.78740157499999996" header="0.31496062000000047" footer="0.31496062000000047"/>
    <c:pageSetup paperSize="9" orientation="landscape" horizontalDpi="-2" verticalDpi="-2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102</xdr:row>
      <xdr:rowOff>0</xdr:rowOff>
    </xdr:from>
    <xdr:to>
      <xdr:col>3</xdr:col>
      <xdr:colOff>971550</xdr:colOff>
      <xdr:row>117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94130</xdr:colOff>
      <xdr:row>54</xdr:row>
      <xdr:rowOff>89647</xdr:rowOff>
    </xdr:from>
    <xdr:to>
      <xdr:col>3</xdr:col>
      <xdr:colOff>795618</xdr:colOff>
      <xdr:row>65</xdr:row>
      <xdr:rowOff>179294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307040</xdr:colOff>
      <xdr:row>22</xdr:row>
      <xdr:rowOff>33617</xdr:rowOff>
    </xdr:from>
    <xdr:to>
      <xdr:col>8</xdr:col>
      <xdr:colOff>11205</xdr:colOff>
      <xdr:row>39</xdr:row>
      <xdr:rowOff>134470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68"/>
  <sheetViews>
    <sheetView showGridLines="0" tabSelected="1" zoomScale="70" zoomScaleNormal="70" zoomScaleSheetLayoutView="70" zoomScalePageLayoutView="85" workbookViewId="0">
      <pane xSplit="10" ySplit="1" topLeftCell="K2" activePane="bottomRight" state="frozen"/>
      <selection pane="topRight" activeCell="L1" sqref="L1"/>
      <selection pane="bottomLeft" activeCell="A2" sqref="A2"/>
      <selection pane="bottomRight" activeCell="L53" sqref="L53"/>
    </sheetView>
  </sheetViews>
  <sheetFormatPr defaultColWidth="29.5546875" defaultRowHeight="15" outlineLevelRow="1" x14ac:dyDescent="0.3"/>
  <cols>
    <col min="1" max="1" width="6" style="217" customWidth="1"/>
    <col min="2" max="2" width="7.109375" style="217" customWidth="1"/>
    <col min="3" max="3" width="39.44140625" style="233" customWidth="1"/>
    <col min="4" max="4" width="50.77734375" style="198" customWidth="1"/>
    <col min="5" max="5" width="16.5546875" style="218" customWidth="1"/>
    <col min="6" max="6" width="12.5546875" style="229" customWidth="1"/>
    <col min="7" max="7" width="12.6640625" style="219" customWidth="1"/>
    <col min="8" max="8" width="14" style="219" customWidth="1"/>
    <col min="9" max="9" width="19.5546875" style="220" customWidth="1"/>
    <col min="10" max="10" width="20.6640625" style="230" customWidth="1"/>
    <col min="11" max="20" width="15.6640625" style="1" customWidth="1"/>
    <col min="21" max="16384" width="29.5546875" style="1"/>
  </cols>
  <sheetData>
    <row r="1" spans="1:33" s="169" customFormat="1" ht="39.75" customHeight="1" x14ac:dyDescent="0.3">
      <c r="A1" s="197" t="s">
        <v>20</v>
      </c>
      <c r="B1" s="197" t="s">
        <v>2</v>
      </c>
      <c r="C1" s="197" t="s">
        <v>3</v>
      </c>
      <c r="D1" s="197" t="s">
        <v>4</v>
      </c>
      <c r="E1" s="197" t="s">
        <v>132</v>
      </c>
      <c r="F1" s="197" t="s">
        <v>143</v>
      </c>
      <c r="G1" s="197" t="s">
        <v>5</v>
      </c>
      <c r="H1" s="197" t="s">
        <v>6</v>
      </c>
      <c r="I1" s="208" t="s">
        <v>145</v>
      </c>
      <c r="J1" s="208" t="s">
        <v>136</v>
      </c>
      <c r="K1" s="221"/>
      <c r="L1" s="221"/>
      <c r="M1" s="221"/>
      <c r="N1" s="221"/>
      <c r="O1" s="221"/>
      <c r="P1" s="22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</row>
    <row r="2" spans="1:33" s="169" customFormat="1" ht="39.75" customHeight="1" x14ac:dyDescent="0.3">
      <c r="A2" s="209">
        <v>1</v>
      </c>
      <c r="B2" s="209">
        <v>2021</v>
      </c>
      <c r="C2" s="216" t="s">
        <v>226</v>
      </c>
      <c r="D2" s="171" t="s">
        <v>236</v>
      </c>
      <c r="E2" s="194" t="s">
        <v>225</v>
      </c>
      <c r="F2" s="225" t="s">
        <v>131</v>
      </c>
      <c r="G2" s="204">
        <v>44440</v>
      </c>
      <c r="H2" s="205">
        <f>G2+364</f>
        <v>44804</v>
      </c>
      <c r="I2" s="207">
        <v>2640</v>
      </c>
      <c r="J2" s="207">
        <v>2640</v>
      </c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</row>
    <row r="3" spans="1:33" s="169" customFormat="1" ht="39.75" customHeight="1" x14ac:dyDescent="0.3">
      <c r="A3" s="209">
        <v>2</v>
      </c>
      <c r="B3" s="209">
        <v>2021</v>
      </c>
      <c r="C3" s="216" t="s">
        <v>224</v>
      </c>
      <c r="D3" s="171" t="s">
        <v>235</v>
      </c>
      <c r="E3" s="194" t="s">
        <v>223</v>
      </c>
      <c r="F3" s="225" t="s">
        <v>131</v>
      </c>
      <c r="G3" s="204">
        <v>44438</v>
      </c>
      <c r="H3" s="205">
        <f>G3+180</f>
        <v>44618</v>
      </c>
      <c r="I3" s="207">
        <v>338966.22</v>
      </c>
      <c r="J3" s="207">
        <v>338966.22</v>
      </c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</row>
    <row r="4" spans="1:33" s="169" customFormat="1" ht="39.75" customHeight="1" x14ac:dyDescent="0.3">
      <c r="A4" s="209">
        <v>3</v>
      </c>
      <c r="B4" s="209">
        <v>2021</v>
      </c>
      <c r="C4" s="216" t="s">
        <v>222</v>
      </c>
      <c r="D4" s="171" t="s">
        <v>234</v>
      </c>
      <c r="E4" s="194" t="s">
        <v>215</v>
      </c>
      <c r="F4" s="225" t="s">
        <v>131</v>
      </c>
      <c r="G4" s="204">
        <v>44432</v>
      </c>
      <c r="H4" s="205">
        <f>G4+364</f>
        <v>44796</v>
      </c>
      <c r="I4" s="207">
        <v>4000</v>
      </c>
      <c r="J4" s="207">
        <v>4000</v>
      </c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</row>
    <row r="5" spans="1:33" s="169" customFormat="1" ht="39.75" customHeight="1" x14ac:dyDescent="0.3">
      <c r="A5" s="209">
        <v>4</v>
      </c>
      <c r="B5" s="209">
        <v>2021</v>
      </c>
      <c r="C5" s="216" t="s">
        <v>221</v>
      </c>
      <c r="D5" s="171" t="s">
        <v>233</v>
      </c>
      <c r="E5" s="194" t="s">
        <v>220</v>
      </c>
      <c r="F5" s="225" t="s">
        <v>131</v>
      </c>
      <c r="G5" s="204">
        <v>44425</v>
      </c>
      <c r="H5" s="205">
        <f>G5+364</f>
        <v>44789</v>
      </c>
      <c r="I5" s="207">
        <v>24603.54</v>
      </c>
      <c r="J5" s="207">
        <v>24603.54</v>
      </c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</row>
    <row r="6" spans="1:33" s="169" customFormat="1" ht="39.75" customHeight="1" x14ac:dyDescent="0.3">
      <c r="A6" s="209">
        <v>5</v>
      </c>
      <c r="B6" s="209">
        <v>2021</v>
      </c>
      <c r="C6" s="216" t="s">
        <v>219</v>
      </c>
      <c r="D6" s="171" t="s">
        <v>232</v>
      </c>
      <c r="E6" s="194" t="s">
        <v>218</v>
      </c>
      <c r="F6" s="225" t="s">
        <v>131</v>
      </c>
      <c r="G6" s="204">
        <v>44418</v>
      </c>
      <c r="H6" s="205">
        <f>G6+365+91</f>
        <v>44874</v>
      </c>
      <c r="I6" s="207">
        <v>81295.899999999994</v>
      </c>
      <c r="J6" s="207">
        <v>81295.899999999994</v>
      </c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</row>
    <row r="7" spans="1:33" s="169" customFormat="1" ht="39.75" customHeight="1" x14ac:dyDescent="0.3">
      <c r="A7" s="209">
        <v>6</v>
      </c>
      <c r="B7" s="209">
        <v>2021</v>
      </c>
      <c r="C7" s="216" t="s">
        <v>217</v>
      </c>
      <c r="D7" s="171" t="s">
        <v>231</v>
      </c>
      <c r="E7" s="194" t="s">
        <v>216</v>
      </c>
      <c r="F7" s="225" t="s">
        <v>131</v>
      </c>
      <c r="G7" s="204">
        <v>44368</v>
      </c>
      <c r="H7" s="205">
        <f>G7+365+91</f>
        <v>44824</v>
      </c>
      <c r="I7" s="207">
        <v>49935</v>
      </c>
      <c r="J7" s="207">
        <v>49935</v>
      </c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</row>
    <row r="8" spans="1:33" s="169" customFormat="1" ht="39.75" customHeight="1" x14ac:dyDescent="0.3">
      <c r="A8" s="209">
        <v>7</v>
      </c>
      <c r="B8" s="209">
        <v>2021</v>
      </c>
      <c r="C8" s="216" t="s">
        <v>258</v>
      </c>
      <c r="D8" s="171" t="s">
        <v>230</v>
      </c>
      <c r="E8" s="194" t="s">
        <v>211</v>
      </c>
      <c r="F8" s="225" t="s">
        <v>131</v>
      </c>
      <c r="G8" s="214">
        <v>44341</v>
      </c>
      <c r="H8" s="205">
        <f>G8+365+122</f>
        <v>44828</v>
      </c>
      <c r="I8" s="207">
        <v>31232.74</v>
      </c>
      <c r="J8" s="207">
        <v>29652.960000000003</v>
      </c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</row>
    <row r="9" spans="1:33" s="169" customFormat="1" ht="39.75" customHeight="1" x14ac:dyDescent="0.3">
      <c r="A9" s="209">
        <v>8</v>
      </c>
      <c r="B9" s="209">
        <v>2021</v>
      </c>
      <c r="C9" s="216" t="s">
        <v>214</v>
      </c>
      <c r="D9" s="171" t="s">
        <v>229</v>
      </c>
      <c r="E9" s="194" t="s">
        <v>213</v>
      </c>
      <c r="F9" s="225" t="s">
        <v>131</v>
      </c>
      <c r="G9" s="204">
        <v>44333</v>
      </c>
      <c r="H9" s="205">
        <f>G9+364+365</f>
        <v>45062</v>
      </c>
      <c r="I9" s="207">
        <v>269145.13</v>
      </c>
      <c r="J9" s="207">
        <v>269145.13</v>
      </c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</row>
    <row r="10" spans="1:33" s="169" customFormat="1" ht="39.75" customHeight="1" x14ac:dyDescent="0.3">
      <c r="A10" s="209">
        <v>9</v>
      </c>
      <c r="B10" s="209">
        <v>2021</v>
      </c>
      <c r="C10" s="216" t="s">
        <v>212</v>
      </c>
      <c r="D10" s="171" t="s">
        <v>239</v>
      </c>
      <c r="E10" s="194" t="s">
        <v>210</v>
      </c>
      <c r="F10" s="225" t="s">
        <v>131</v>
      </c>
      <c r="G10" s="204">
        <v>44327</v>
      </c>
      <c r="H10" s="205">
        <f>G10+183</f>
        <v>44510</v>
      </c>
      <c r="I10" s="207">
        <v>2260</v>
      </c>
      <c r="J10" s="207">
        <v>0</v>
      </c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</row>
    <row r="11" spans="1:33" s="169" customFormat="1" ht="39.75" customHeight="1" x14ac:dyDescent="0.3">
      <c r="A11" s="209">
        <v>10</v>
      </c>
      <c r="B11" s="209">
        <v>2021</v>
      </c>
      <c r="C11" s="216" t="s">
        <v>249</v>
      </c>
      <c r="D11" s="171" t="s">
        <v>264</v>
      </c>
      <c r="E11" s="210" t="s">
        <v>170</v>
      </c>
      <c r="F11" s="226" t="s">
        <v>131</v>
      </c>
      <c r="G11" s="204">
        <v>44317</v>
      </c>
      <c r="H11" s="205">
        <f>G11+365+365+365+1</f>
        <v>45413</v>
      </c>
      <c r="I11" s="211">
        <f>7757*12</f>
        <v>93084</v>
      </c>
      <c r="J11" s="207">
        <v>66499</v>
      </c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</row>
    <row r="12" spans="1:33" s="169" customFormat="1" ht="39.75" customHeight="1" x14ac:dyDescent="0.3">
      <c r="A12" s="209">
        <v>11</v>
      </c>
      <c r="B12" s="209">
        <v>2021</v>
      </c>
      <c r="C12" s="216" t="s">
        <v>250</v>
      </c>
      <c r="D12" s="171" t="s">
        <v>178</v>
      </c>
      <c r="E12" s="210" t="s">
        <v>175</v>
      </c>
      <c r="F12" s="227" t="s">
        <v>131</v>
      </c>
      <c r="G12" s="204">
        <v>44316</v>
      </c>
      <c r="H12" s="205">
        <f>G12+364+365+184</f>
        <v>45229</v>
      </c>
      <c r="I12" s="207">
        <v>154875.6</v>
      </c>
      <c r="J12" s="207">
        <v>142223.94</v>
      </c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</row>
    <row r="13" spans="1:33" s="169" customFormat="1" ht="39.75" customHeight="1" x14ac:dyDescent="0.3">
      <c r="A13" s="209">
        <v>12</v>
      </c>
      <c r="B13" s="209">
        <v>2021</v>
      </c>
      <c r="C13" s="216" t="s">
        <v>209</v>
      </c>
      <c r="D13" s="171" t="s">
        <v>238</v>
      </c>
      <c r="E13" s="200" t="s">
        <v>207</v>
      </c>
      <c r="F13" s="225" t="s">
        <v>131</v>
      </c>
      <c r="G13" s="204">
        <v>44319</v>
      </c>
      <c r="H13" s="205">
        <f>G13+364</f>
        <v>44683</v>
      </c>
      <c r="I13" s="207">
        <v>47520</v>
      </c>
      <c r="J13" s="207">
        <v>39131.839999999997</v>
      </c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</row>
    <row r="14" spans="1:33" s="169" customFormat="1" ht="39.75" customHeight="1" x14ac:dyDescent="0.3">
      <c r="A14" s="209">
        <v>13</v>
      </c>
      <c r="B14" s="209">
        <v>2021</v>
      </c>
      <c r="C14" s="216" t="s">
        <v>208</v>
      </c>
      <c r="D14" s="171" t="s">
        <v>228</v>
      </c>
      <c r="E14" s="196" t="s">
        <v>172</v>
      </c>
      <c r="F14" s="225" t="s">
        <v>131</v>
      </c>
      <c r="G14" s="204">
        <v>44309</v>
      </c>
      <c r="H14" s="205">
        <v>44673</v>
      </c>
      <c r="I14" s="207">
        <v>18099.62</v>
      </c>
      <c r="J14" s="207">
        <v>18099.62</v>
      </c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</row>
    <row r="15" spans="1:33" s="169" customFormat="1" ht="39.75" customHeight="1" x14ac:dyDescent="0.3">
      <c r="A15" s="209">
        <v>14</v>
      </c>
      <c r="B15" s="209">
        <v>2021</v>
      </c>
      <c r="C15" s="216" t="s">
        <v>205</v>
      </c>
      <c r="D15" s="203" t="s">
        <v>206</v>
      </c>
      <c r="E15" s="195" t="s">
        <v>173</v>
      </c>
      <c r="F15" s="225" t="s">
        <v>131</v>
      </c>
      <c r="G15" s="204">
        <v>44279</v>
      </c>
      <c r="H15" s="205">
        <v>44643</v>
      </c>
      <c r="I15" s="207">
        <v>154261.79999999999</v>
      </c>
      <c r="J15" s="207">
        <v>101107.60999999999</v>
      </c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</row>
    <row r="16" spans="1:33" s="169" customFormat="1" ht="39.6" customHeight="1" x14ac:dyDescent="0.3">
      <c r="A16" s="209">
        <v>15</v>
      </c>
      <c r="B16" s="209">
        <v>2021</v>
      </c>
      <c r="C16" s="216" t="s">
        <v>204</v>
      </c>
      <c r="D16" s="171" t="s">
        <v>227</v>
      </c>
      <c r="E16" s="194" t="s">
        <v>203</v>
      </c>
      <c r="F16" s="225" t="s">
        <v>131</v>
      </c>
      <c r="G16" s="204">
        <v>44273</v>
      </c>
      <c r="H16" s="205">
        <v>44637</v>
      </c>
      <c r="I16" s="207">
        <v>49920.1</v>
      </c>
      <c r="J16" s="207">
        <v>37930.299999999996</v>
      </c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</row>
    <row r="17" spans="1:33" s="169" customFormat="1" ht="31.2" x14ac:dyDescent="0.3">
      <c r="A17" s="209">
        <v>16</v>
      </c>
      <c r="B17" s="209">
        <v>2020</v>
      </c>
      <c r="C17" s="216" t="s">
        <v>251</v>
      </c>
      <c r="D17" s="171" t="s">
        <v>180</v>
      </c>
      <c r="E17" s="210" t="s">
        <v>157</v>
      </c>
      <c r="F17" s="226" t="s">
        <v>131</v>
      </c>
      <c r="G17" s="186">
        <v>44158</v>
      </c>
      <c r="H17" s="212">
        <v>44522</v>
      </c>
      <c r="I17" s="211">
        <v>12000</v>
      </c>
      <c r="J17" s="207">
        <v>1000</v>
      </c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</row>
    <row r="18" spans="1:33" s="169" customFormat="1" ht="31.2" x14ac:dyDescent="0.3">
      <c r="A18" s="209">
        <v>17</v>
      </c>
      <c r="B18" s="209">
        <v>2020</v>
      </c>
      <c r="C18" s="231" t="s">
        <v>273</v>
      </c>
      <c r="D18" s="171" t="s">
        <v>274</v>
      </c>
      <c r="E18" s="195" t="s">
        <v>164</v>
      </c>
      <c r="F18" s="226" t="s">
        <v>131</v>
      </c>
      <c r="G18" s="171">
        <v>44165</v>
      </c>
      <c r="H18" s="205">
        <f>G18+364</f>
        <v>44529</v>
      </c>
      <c r="I18" s="211">
        <v>264000</v>
      </c>
      <c r="J18" s="207">
        <v>0</v>
      </c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</row>
    <row r="19" spans="1:33" s="169" customFormat="1" ht="46.8" x14ac:dyDescent="0.3">
      <c r="A19" s="209">
        <v>18</v>
      </c>
      <c r="B19" s="209">
        <v>2020</v>
      </c>
      <c r="C19" s="231" t="s">
        <v>171</v>
      </c>
      <c r="D19" s="171" t="s">
        <v>187</v>
      </c>
      <c r="E19" s="210" t="s">
        <v>155</v>
      </c>
      <c r="F19" s="226" t="s">
        <v>131</v>
      </c>
      <c r="G19" s="204">
        <v>44405</v>
      </c>
      <c r="H19" s="212">
        <v>44769</v>
      </c>
      <c r="I19" s="211">
        <f>14162.83+2360.47+4484.9+6443.21</f>
        <v>27451.409999999996</v>
      </c>
      <c r="J19" s="207">
        <v>3304.4799999999996</v>
      </c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</row>
    <row r="20" spans="1:33" s="169" customFormat="1" ht="49.5" customHeight="1" x14ac:dyDescent="0.3">
      <c r="A20" s="209">
        <v>19</v>
      </c>
      <c r="B20" s="209">
        <v>2020</v>
      </c>
      <c r="C20" s="216" t="s">
        <v>252</v>
      </c>
      <c r="D20" s="171" t="s">
        <v>182</v>
      </c>
      <c r="E20" s="210" t="s">
        <v>297</v>
      </c>
      <c r="F20" s="226" t="s">
        <v>131</v>
      </c>
      <c r="G20" s="204">
        <v>44467</v>
      </c>
      <c r="H20" s="212">
        <v>44831</v>
      </c>
      <c r="I20" s="211">
        <v>249140.4</v>
      </c>
      <c r="J20" s="207">
        <v>249140.4</v>
      </c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</row>
    <row r="21" spans="1:33" s="169" customFormat="1" ht="58.5" customHeight="1" x14ac:dyDescent="0.3">
      <c r="A21" s="209">
        <v>20</v>
      </c>
      <c r="B21" s="209">
        <v>2020</v>
      </c>
      <c r="C21" s="216" t="s">
        <v>146</v>
      </c>
      <c r="D21" s="171" t="s">
        <v>146</v>
      </c>
      <c r="E21" s="210" t="s">
        <v>242</v>
      </c>
      <c r="F21" s="226" t="s">
        <v>131</v>
      </c>
      <c r="G21" s="204">
        <v>44461</v>
      </c>
      <c r="H21" s="212">
        <f>G21+364</f>
        <v>44825</v>
      </c>
      <c r="I21" s="211">
        <v>303871.68</v>
      </c>
      <c r="J21" s="207">
        <v>303871.68</v>
      </c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</row>
    <row r="22" spans="1:33" s="169" customFormat="1" ht="39.75" customHeight="1" x14ac:dyDescent="0.3">
      <c r="A22" s="209">
        <v>21</v>
      </c>
      <c r="B22" s="209">
        <v>2020</v>
      </c>
      <c r="C22" s="216" t="s">
        <v>147</v>
      </c>
      <c r="D22" s="171" t="s">
        <v>147</v>
      </c>
      <c r="E22" s="213" t="s">
        <v>148</v>
      </c>
      <c r="F22" s="226" t="s">
        <v>131</v>
      </c>
      <c r="G22" s="204">
        <v>44092</v>
      </c>
      <c r="H22" s="212">
        <f>G22+364</f>
        <v>44456</v>
      </c>
      <c r="I22" s="211">
        <v>6697.9</v>
      </c>
      <c r="J22" s="207">
        <v>4571.8999999999996</v>
      </c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</row>
    <row r="23" spans="1:33" s="169" customFormat="1" ht="39.75" customHeight="1" x14ac:dyDescent="0.3">
      <c r="A23" s="209">
        <v>22</v>
      </c>
      <c r="B23" s="209">
        <v>2020</v>
      </c>
      <c r="C23" s="216" t="s">
        <v>253</v>
      </c>
      <c r="D23" s="171" t="s">
        <v>150</v>
      </c>
      <c r="E23" s="213" t="s">
        <v>149</v>
      </c>
      <c r="F23" s="226" t="s">
        <v>131</v>
      </c>
      <c r="G23" s="204">
        <v>44089</v>
      </c>
      <c r="H23" s="212">
        <f>G23+364</f>
        <v>44453</v>
      </c>
      <c r="I23" s="211">
        <v>18000</v>
      </c>
      <c r="J23" s="207">
        <v>8685.92</v>
      </c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</row>
    <row r="24" spans="1:33" s="169" customFormat="1" ht="39.75" customHeight="1" x14ac:dyDescent="0.3">
      <c r="A24" s="209">
        <v>23</v>
      </c>
      <c r="B24" s="209">
        <v>2020</v>
      </c>
      <c r="C24" s="216" t="s">
        <v>254</v>
      </c>
      <c r="D24" s="171" t="s">
        <v>183</v>
      </c>
      <c r="E24" s="210" t="s">
        <v>139</v>
      </c>
      <c r="F24" s="226" t="s">
        <v>131</v>
      </c>
      <c r="G24" s="214">
        <v>44399</v>
      </c>
      <c r="H24" s="212">
        <f>G24+364</f>
        <v>44763</v>
      </c>
      <c r="I24" s="211">
        <v>261995.2</v>
      </c>
      <c r="J24" s="207">
        <v>232494.40000000002</v>
      </c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</row>
    <row r="25" spans="1:33" s="169" customFormat="1" ht="69" customHeight="1" x14ac:dyDescent="0.3">
      <c r="A25" s="209">
        <v>25</v>
      </c>
      <c r="B25" s="209">
        <v>2020</v>
      </c>
      <c r="C25" s="216" t="s">
        <v>248</v>
      </c>
      <c r="D25" s="171" t="s">
        <v>184</v>
      </c>
      <c r="E25" s="210" t="s">
        <v>243</v>
      </c>
      <c r="F25" s="226" t="s">
        <v>131</v>
      </c>
      <c r="G25" s="214">
        <v>44013</v>
      </c>
      <c r="H25" s="212">
        <v>45412</v>
      </c>
      <c r="I25" s="211">
        <v>108304.6</v>
      </c>
      <c r="J25" s="207">
        <v>95438.510000000009</v>
      </c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</row>
    <row r="26" spans="1:33" s="169" customFormat="1" ht="48" customHeight="1" x14ac:dyDescent="0.3">
      <c r="A26" s="209">
        <v>26</v>
      </c>
      <c r="B26" s="209">
        <v>2020</v>
      </c>
      <c r="C26" s="231" t="s">
        <v>271</v>
      </c>
      <c r="D26" s="206" t="s">
        <v>272</v>
      </c>
      <c r="E26" s="210" t="s">
        <v>270</v>
      </c>
      <c r="F26" s="226" t="s">
        <v>131</v>
      </c>
      <c r="G26" s="214">
        <v>44378</v>
      </c>
      <c r="H26" s="214">
        <f>G26+364</f>
        <v>44742</v>
      </c>
      <c r="I26" s="222">
        <v>29500</v>
      </c>
      <c r="J26" s="207">
        <v>29500</v>
      </c>
    </row>
    <row r="27" spans="1:33" s="169" customFormat="1" ht="56.25" customHeight="1" x14ac:dyDescent="0.3">
      <c r="A27" s="209">
        <v>27</v>
      </c>
      <c r="B27" s="209">
        <v>2020</v>
      </c>
      <c r="C27" s="216" t="s">
        <v>268</v>
      </c>
      <c r="D27" s="206" t="s">
        <v>200</v>
      </c>
      <c r="E27" s="210" t="s">
        <v>269</v>
      </c>
      <c r="F27" s="226" t="s">
        <v>131</v>
      </c>
      <c r="G27" s="214">
        <v>44327</v>
      </c>
      <c r="H27" s="212">
        <v>44691</v>
      </c>
      <c r="I27" s="211">
        <v>15700</v>
      </c>
      <c r="J27" s="207">
        <v>15700</v>
      </c>
    </row>
    <row r="28" spans="1:33" s="193" customFormat="1" ht="53.25" customHeight="1" x14ac:dyDescent="0.3">
      <c r="A28" s="209">
        <v>28</v>
      </c>
      <c r="B28" s="209">
        <v>2020</v>
      </c>
      <c r="C28" s="216" t="s">
        <v>267</v>
      </c>
      <c r="D28" s="206" t="s">
        <v>201</v>
      </c>
      <c r="E28" s="210" t="s">
        <v>266</v>
      </c>
      <c r="F28" s="226" t="s">
        <v>131</v>
      </c>
      <c r="G28" s="214">
        <v>44327</v>
      </c>
      <c r="H28" s="212">
        <v>44691</v>
      </c>
      <c r="I28" s="211">
        <v>1116852.8</v>
      </c>
      <c r="J28" s="207">
        <v>829604.99</v>
      </c>
    </row>
    <row r="29" spans="1:33" s="169" customFormat="1" ht="31.2" x14ac:dyDescent="0.3">
      <c r="A29" s="209">
        <v>29</v>
      </c>
      <c r="B29" s="209">
        <v>2020</v>
      </c>
      <c r="C29" s="216" t="s">
        <v>247</v>
      </c>
      <c r="D29" s="171" t="s">
        <v>185</v>
      </c>
      <c r="E29" s="210" t="s">
        <v>133</v>
      </c>
      <c r="F29" s="226" t="s">
        <v>131</v>
      </c>
      <c r="G29" s="214">
        <v>44291</v>
      </c>
      <c r="H29" s="212">
        <v>44657</v>
      </c>
      <c r="I29" s="211">
        <v>8280</v>
      </c>
      <c r="J29" s="207">
        <v>5963</v>
      </c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</row>
    <row r="30" spans="1:33" s="169" customFormat="1" ht="53.25" customHeight="1" outlineLevel="1" x14ac:dyDescent="0.3">
      <c r="A30" s="209">
        <v>30</v>
      </c>
      <c r="B30" s="209">
        <v>2020</v>
      </c>
      <c r="C30" s="231" t="s">
        <v>140</v>
      </c>
      <c r="D30" s="206" t="s">
        <v>140</v>
      </c>
      <c r="E30" s="210" t="s">
        <v>135</v>
      </c>
      <c r="F30" s="226" t="s">
        <v>131</v>
      </c>
      <c r="G30" s="214">
        <v>44274</v>
      </c>
      <c r="H30" s="214">
        <v>44638</v>
      </c>
      <c r="I30" s="222">
        <v>13740</v>
      </c>
      <c r="J30" s="207">
        <v>11112</v>
      </c>
    </row>
    <row r="31" spans="1:33" s="169" customFormat="1" ht="53.25" customHeight="1" x14ac:dyDescent="0.3">
      <c r="A31" s="209">
        <v>31</v>
      </c>
      <c r="B31" s="209">
        <v>2020</v>
      </c>
      <c r="C31" s="231" t="s">
        <v>283</v>
      </c>
      <c r="D31" s="206" t="s">
        <v>284</v>
      </c>
      <c r="E31" s="210" t="s">
        <v>276</v>
      </c>
      <c r="F31" s="226" t="s">
        <v>131</v>
      </c>
      <c r="G31" s="214">
        <v>44240</v>
      </c>
      <c r="H31" s="214">
        <v>44604</v>
      </c>
      <c r="I31" s="222">
        <v>17100</v>
      </c>
      <c r="J31" s="207">
        <v>14112</v>
      </c>
    </row>
    <row r="32" spans="1:33" s="193" customFormat="1" ht="58.2" customHeight="1" outlineLevel="1" x14ac:dyDescent="0.3">
      <c r="A32" s="209">
        <v>32</v>
      </c>
      <c r="B32" s="209">
        <v>2019</v>
      </c>
      <c r="C32" s="231" t="s">
        <v>141</v>
      </c>
      <c r="D32" s="171" t="s">
        <v>181</v>
      </c>
      <c r="E32" s="215" t="s">
        <v>275</v>
      </c>
      <c r="F32" s="226" t="s">
        <v>131</v>
      </c>
      <c r="G32" s="214">
        <v>43815</v>
      </c>
      <c r="H32" s="212">
        <v>44530</v>
      </c>
      <c r="I32" s="211">
        <v>2644.95</v>
      </c>
      <c r="J32" s="207">
        <v>1534.7299999999998</v>
      </c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</row>
    <row r="33" spans="1:33" s="169" customFormat="1" ht="76.5" customHeight="1" x14ac:dyDescent="0.3">
      <c r="A33" s="209">
        <v>33</v>
      </c>
      <c r="B33" s="209">
        <v>2019</v>
      </c>
      <c r="C33" s="231" t="s">
        <v>246</v>
      </c>
      <c r="D33" s="171" t="s">
        <v>186</v>
      </c>
      <c r="E33" s="215" t="s">
        <v>9</v>
      </c>
      <c r="F33" s="226" t="s">
        <v>131</v>
      </c>
      <c r="G33" s="214">
        <v>43820</v>
      </c>
      <c r="H33" s="212">
        <v>44530</v>
      </c>
      <c r="I33" s="211">
        <v>38028.400000000001</v>
      </c>
      <c r="J33" s="207">
        <v>31719.54</v>
      </c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</row>
    <row r="34" spans="1:33" s="169" customFormat="1" ht="53.25" customHeight="1" outlineLevel="1" x14ac:dyDescent="0.3">
      <c r="A34" s="209">
        <v>34</v>
      </c>
      <c r="B34" s="209">
        <v>2019</v>
      </c>
      <c r="C34" s="231" t="s">
        <v>245</v>
      </c>
      <c r="D34" s="171" t="s">
        <v>188</v>
      </c>
      <c r="E34" s="210" t="s">
        <v>244</v>
      </c>
      <c r="F34" s="227" t="s">
        <v>131</v>
      </c>
      <c r="G34" s="214">
        <v>43815</v>
      </c>
      <c r="H34" s="212">
        <v>44530</v>
      </c>
      <c r="I34" s="211">
        <f>9672.6+7077.24</f>
        <v>16749.84</v>
      </c>
      <c r="J34" s="207">
        <v>1062.1500000000015</v>
      </c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</row>
    <row r="35" spans="1:33" s="169" customFormat="1" ht="53.25" customHeight="1" x14ac:dyDescent="0.3">
      <c r="A35" s="209">
        <v>35</v>
      </c>
      <c r="B35" s="209">
        <v>2019</v>
      </c>
      <c r="C35" s="231" t="s">
        <v>255</v>
      </c>
      <c r="D35" s="206" t="s">
        <v>189</v>
      </c>
      <c r="E35" s="210" t="s">
        <v>158</v>
      </c>
      <c r="F35" s="227" t="s">
        <v>131</v>
      </c>
      <c r="G35" s="214">
        <v>44167</v>
      </c>
      <c r="H35" s="214">
        <f>G35+364</f>
        <v>44531</v>
      </c>
      <c r="I35" s="222">
        <v>2289.6</v>
      </c>
      <c r="J35" s="207">
        <v>954.8</v>
      </c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</row>
    <row r="36" spans="1:33" s="169" customFormat="1" ht="53.25" customHeight="1" x14ac:dyDescent="0.3">
      <c r="A36" s="209">
        <v>36</v>
      </c>
      <c r="B36" s="209">
        <v>2019</v>
      </c>
      <c r="C36" s="231" t="s">
        <v>280</v>
      </c>
      <c r="D36" s="206" t="s">
        <v>281</v>
      </c>
      <c r="E36" s="210" t="s">
        <v>282</v>
      </c>
      <c r="F36" s="227" t="s">
        <v>131</v>
      </c>
      <c r="G36" s="214">
        <v>44167</v>
      </c>
      <c r="H36" s="214">
        <v>44531</v>
      </c>
      <c r="I36" s="222">
        <v>720</v>
      </c>
      <c r="J36" s="207">
        <v>0</v>
      </c>
    </row>
    <row r="37" spans="1:33" s="169" customFormat="1" ht="65.400000000000006" customHeight="1" x14ac:dyDescent="0.3">
      <c r="A37" s="209">
        <v>37</v>
      </c>
      <c r="B37" s="209">
        <v>2019</v>
      </c>
      <c r="C37" s="231" t="s">
        <v>250</v>
      </c>
      <c r="D37" s="171" t="s">
        <v>178</v>
      </c>
      <c r="E37" s="210" t="s">
        <v>154</v>
      </c>
      <c r="F37" s="227" t="s">
        <v>131</v>
      </c>
      <c r="G37" s="214">
        <v>44127</v>
      </c>
      <c r="H37" s="212">
        <f>G37+364</f>
        <v>44491</v>
      </c>
      <c r="I37" s="207">
        <v>49896</v>
      </c>
      <c r="J37" s="207">
        <v>5590.6200000000099</v>
      </c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</row>
    <row r="38" spans="1:33" s="193" customFormat="1" ht="55.2" customHeight="1" outlineLevel="1" x14ac:dyDescent="0.3">
      <c r="A38" s="209">
        <v>38</v>
      </c>
      <c r="B38" s="209">
        <v>2019</v>
      </c>
      <c r="C38" s="231" t="s">
        <v>256</v>
      </c>
      <c r="D38" s="199" t="s">
        <v>240</v>
      </c>
      <c r="E38" s="210" t="s">
        <v>153</v>
      </c>
      <c r="F38" s="227" t="s">
        <v>131</v>
      </c>
      <c r="G38" s="214">
        <v>44127</v>
      </c>
      <c r="H38" s="212">
        <f>G38+364</f>
        <v>44491</v>
      </c>
      <c r="I38" s="211">
        <v>1153.75</v>
      </c>
      <c r="J38" s="207">
        <v>893.48</v>
      </c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</row>
    <row r="39" spans="1:33" s="169" customFormat="1" ht="66.599999999999994" customHeight="1" x14ac:dyDescent="0.3">
      <c r="A39" s="209">
        <v>39</v>
      </c>
      <c r="B39" s="209">
        <v>2019</v>
      </c>
      <c r="C39" s="231" t="s">
        <v>144</v>
      </c>
      <c r="D39" s="171" t="s">
        <v>144</v>
      </c>
      <c r="E39" s="210" t="s">
        <v>134</v>
      </c>
      <c r="F39" s="226" t="s">
        <v>131</v>
      </c>
      <c r="G39" s="214">
        <v>43922</v>
      </c>
      <c r="H39" s="212">
        <v>45012</v>
      </c>
      <c r="I39" s="211">
        <v>4498.5</v>
      </c>
      <c r="J39" s="207">
        <v>0</v>
      </c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</row>
    <row r="40" spans="1:33" s="169" customFormat="1" ht="53.25" customHeight="1" outlineLevel="1" x14ac:dyDescent="0.3">
      <c r="A40" s="209">
        <v>40</v>
      </c>
      <c r="B40" s="209">
        <v>2019</v>
      </c>
      <c r="C40" s="216" t="s">
        <v>292</v>
      </c>
      <c r="D40" s="206" t="s">
        <v>194</v>
      </c>
      <c r="E40" s="210" t="s">
        <v>285</v>
      </c>
      <c r="F40" s="226" t="s">
        <v>131</v>
      </c>
      <c r="G40" s="214">
        <v>44420</v>
      </c>
      <c r="H40" s="214">
        <v>44784</v>
      </c>
      <c r="I40" s="222">
        <v>2160</v>
      </c>
      <c r="J40" s="207">
        <v>1800</v>
      </c>
    </row>
    <row r="41" spans="1:33" s="169" customFormat="1" ht="53.25" customHeight="1" outlineLevel="1" x14ac:dyDescent="0.3">
      <c r="A41" s="209">
        <v>41</v>
      </c>
      <c r="B41" s="209">
        <v>2019</v>
      </c>
      <c r="C41" s="216" t="s">
        <v>286</v>
      </c>
      <c r="D41" s="206" t="s">
        <v>193</v>
      </c>
      <c r="E41" s="210" t="s">
        <v>287</v>
      </c>
      <c r="F41" s="226" t="s">
        <v>131</v>
      </c>
      <c r="G41" s="214">
        <v>44318</v>
      </c>
      <c r="H41" s="214">
        <v>44682</v>
      </c>
      <c r="I41" s="222">
        <v>189840</v>
      </c>
      <c r="J41" s="207">
        <v>186375.14</v>
      </c>
    </row>
    <row r="42" spans="1:33" s="169" customFormat="1" ht="53.25" customHeight="1" x14ac:dyDescent="0.3">
      <c r="A42" s="209">
        <v>42</v>
      </c>
      <c r="B42" s="209">
        <v>2019</v>
      </c>
      <c r="C42" s="216" t="s">
        <v>249</v>
      </c>
      <c r="D42" s="171" t="s">
        <v>263</v>
      </c>
      <c r="E42" s="210" t="s">
        <v>265</v>
      </c>
      <c r="F42" s="226" t="s">
        <v>131</v>
      </c>
      <c r="G42" s="204">
        <v>44383</v>
      </c>
      <c r="H42" s="205">
        <v>45494</v>
      </c>
      <c r="I42" s="211">
        <f>34971.73*12</f>
        <v>419660.76</v>
      </c>
      <c r="J42" s="207">
        <v>314646.45</v>
      </c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</row>
    <row r="43" spans="1:33" s="193" customFormat="1" ht="53.25" customHeight="1" outlineLevel="1" x14ac:dyDescent="0.3">
      <c r="A43" s="209">
        <v>43</v>
      </c>
      <c r="B43" s="209">
        <v>2019</v>
      </c>
      <c r="C43" s="216" t="s">
        <v>257</v>
      </c>
      <c r="D43" s="171" t="s">
        <v>192</v>
      </c>
      <c r="E43" s="210" t="s">
        <v>174</v>
      </c>
      <c r="F43" s="226" t="s">
        <v>131</v>
      </c>
      <c r="G43" s="214">
        <v>44399</v>
      </c>
      <c r="H43" s="212">
        <v>44763</v>
      </c>
      <c r="I43" s="211">
        <f>2152.74*12</f>
        <v>25832.879999999997</v>
      </c>
      <c r="J43" s="207">
        <v>17914.239999999998</v>
      </c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</row>
    <row r="44" spans="1:33" s="169" customFormat="1" ht="35.4" customHeight="1" outlineLevel="1" x14ac:dyDescent="0.3">
      <c r="A44" s="209">
        <v>44</v>
      </c>
      <c r="B44" s="209">
        <v>2018</v>
      </c>
      <c r="C44" s="216" t="s">
        <v>289</v>
      </c>
      <c r="D44" s="206" t="s">
        <v>195</v>
      </c>
      <c r="E44" s="210" t="s">
        <v>290</v>
      </c>
      <c r="F44" s="226" t="s">
        <v>131</v>
      </c>
      <c r="G44" s="214">
        <v>44367</v>
      </c>
      <c r="H44" s="214">
        <v>44731</v>
      </c>
      <c r="I44" s="222">
        <v>25137.200000000001</v>
      </c>
      <c r="J44" s="207">
        <v>18636.2</v>
      </c>
    </row>
    <row r="45" spans="1:33" s="169" customFormat="1" ht="53.25" customHeight="1" x14ac:dyDescent="0.3">
      <c r="A45" s="209">
        <v>45</v>
      </c>
      <c r="B45" s="209">
        <v>2018</v>
      </c>
      <c r="C45" s="216" t="s">
        <v>279</v>
      </c>
      <c r="D45" s="206" t="s">
        <v>196</v>
      </c>
      <c r="E45" s="210" t="s">
        <v>278</v>
      </c>
      <c r="F45" s="226" t="s">
        <v>131</v>
      </c>
      <c r="G45" s="214">
        <v>44243</v>
      </c>
      <c r="H45" s="214">
        <v>44607</v>
      </c>
      <c r="I45" s="222">
        <v>6000</v>
      </c>
      <c r="J45" s="207">
        <v>5259.09</v>
      </c>
    </row>
    <row r="46" spans="1:33" s="169" customFormat="1" ht="53.25" customHeight="1" outlineLevel="1" x14ac:dyDescent="0.3">
      <c r="A46" s="209">
        <v>46</v>
      </c>
      <c r="B46" s="209">
        <v>2018</v>
      </c>
      <c r="C46" s="216" t="s">
        <v>259</v>
      </c>
      <c r="D46" s="171" t="s">
        <v>179</v>
      </c>
      <c r="E46" s="210" t="s">
        <v>291</v>
      </c>
      <c r="F46" s="226" t="s">
        <v>131</v>
      </c>
      <c r="G46" s="214">
        <v>44255</v>
      </c>
      <c r="H46" s="212">
        <v>44619</v>
      </c>
      <c r="I46" s="211">
        <v>11138.4</v>
      </c>
      <c r="J46" s="207">
        <v>9389.0999999999985</v>
      </c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</row>
    <row r="47" spans="1:33" s="169" customFormat="1" ht="53.25" customHeight="1" x14ac:dyDescent="0.3">
      <c r="A47" s="209">
        <v>47</v>
      </c>
      <c r="B47" s="209">
        <v>2019</v>
      </c>
      <c r="C47" s="216" t="s">
        <v>258</v>
      </c>
      <c r="D47" s="171" t="s">
        <v>237</v>
      </c>
      <c r="E47" s="210" t="s">
        <v>168</v>
      </c>
      <c r="F47" s="226" t="s">
        <v>131</v>
      </c>
      <c r="G47" s="214">
        <v>44218</v>
      </c>
      <c r="H47" s="212">
        <v>44582</v>
      </c>
      <c r="I47" s="211">
        <v>45201.599999999999</v>
      </c>
      <c r="J47" s="207">
        <v>33572.080000000002</v>
      </c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</row>
    <row r="48" spans="1:33" s="169" customFormat="1" ht="53.25" customHeight="1" x14ac:dyDescent="0.3">
      <c r="A48" s="209">
        <v>48</v>
      </c>
      <c r="B48" s="209">
        <v>2018</v>
      </c>
      <c r="C48" s="216" t="s">
        <v>293</v>
      </c>
      <c r="D48" s="206" t="s">
        <v>197</v>
      </c>
      <c r="E48" s="210" t="s">
        <v>294</v>
      </c>
      <c r="F48" s="226" t="s">
        <v>131</v>
      </c>
      <c r="G48" s="214">
        <v>44228</v>
      </c>
      <c r="H48" s="214">
        <v>44592</v>
      </c>
      <c r="I48" s="222">
        <v>169838.64</v>
      </c>
      <c r="J48" s="207">
        <v>107649.94</v>
      </c>
    </row>
    <row r="49" spans="1:33" s="169" customFormat="1" ht="53.25" customHeight="1" outlineLevel="1" x14ac:dyDescent="0.3">
      <c r="A49" s="209">
        <v>49</v>
      </c>
      <c r="B49" s="209">
        <v>2017</v>
      </c>
      <c r="C49" s="216" t="s">
        <v>0</v>
      </c>
      <c r="D49" s="206" t="s">
        <v>199</v>
      </c>
      <c r="E49" s="210" t="s">
        <v>300</v>
      </c>
      <c r="F49" s="226" t="s">
        <v>131</v>
      </c>
      <c r="G49" s="214">
        <v>44338</v>
      </c>
      <c r="H49" s="214">
        <v>44702</v>
      </c>
      <c r="I49" s="222">
        <v>26000</v>
      </c>
      <c r="J49" s="207">
        <v>15166.65</v>
      </c>
    </row>
    <row r="50" spans="1:33" s="169" customFormat="1" ht="42" customHeight="1" outlineLevel="1" x14ac:dyDescent="0.3">
      <c r="A50" s="209">
        <v>50</v>
      </c>
      <c r="B50" s="209">
        <v>2017</v>
      </c>
      <c r="C50" s="232" t="s">
        <v>301</v>
      </c>
      <c r="D50" s="171" t="s">
        <v>191</v>
      </c>
      <c r="E50" s="210" t="s">
        <v>142</v>
      </c>
      <c r="F50" s="226" t="s">
        <v>131</v>
      </c>
      <c r="G50" s="214">
        <v>43520</v>
      </c>
      <c r="H50" s="212">
        <v>45346</v>
      </c>
      <c r="I50" s="211">
        <v>75910</v>
      </c>
      <c r="J50" s="207">
        <v>49548.907399999996</v>
      </c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</row>
    <row r="51" spans="1:33" s="169" customFormat="1" ht="53.25" customHeight="1" outlineLevel="1" x14ac:dyDescent="0.3">
      <c r="A51" s="209">
        <v>51</v>
      </c>
      <c r="B51" s="209">
        <v>2017</v>
      </c>
      <c r="C51" s="216" t="s">
        <v>260</v>
      </c>
      <c r="D51" s="206" t="s">
        <v>198</v>
      </c>
      <c r="E51" s="210" t="s">
        <v>298</v>
      </c>
      <c r="F51" s="226" t="s">
        <v>131</v>
      </c>
      <c r="G51" s="214">
        <v>44348</v>
      </c>
      <c r="H51" s="212">
        <f>G51+364</f>
        <v>44712</v>
      </c>
      <c r="I51" s="211">
        <v>11803.2</v>
      </c>
      <c r="J51" s="207">
        <v>8372.32</v>
      </c>
    </row>
    <row r="52" spans="1:33" s="193" customFormat="1" ht="31.2" outlineLevel="1" x14ac:dyDescent="0.3">
      <c r="A52" s="209">
        <v>52</v>
      </c>
      <c r="B52" s="209">
        <v>2017</v>
      </c>
      <c r="C52" s="216" t="s">
        <v>299</v>
      </c>
      <c r="D52" s="171" t="s">
        <v>190</v>
      </c>
      <c r="E52" s="210" t="s">
        <v>169</v>
      </c>
      <c r="F52" s="226" t="s">
        <v>131</v>
      </c>
      <c r="G52" s="214">
        <v>44321</v>
      </c>
      <c r="H52" s="212">
        <v>44685</v>
      </c>
      <c r="I52" s="211">
        <v>3494.76</v>
      </c>
      <c r="J52" s="207">
        <v>2271.04</v>
      </c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</row>
    <row r="53" spans="1:33" s="169" customFormat="1" ht="37.799999999999997" customHeight="1" outlineLevel="1" x14ac:dyDescent="0.3">
      <c r="A53" s="209">
        <v>53</v>
      </c>
      <c r="B53" s="209">
        <v>2017</v>
      </c>
      <c r="C53" s="216" t="s">
        <v>261</v>
      </c>
      <c r="D53" s="171" t="s">
        <v>177</v>
      </c>
      <c r="E53" s="210" t="s">
        <v>176</v>
      </c>
      <c r="F53" s="226" t="s">
        <v>131</v>
      </c>
      <c r="G53" s="214">
        <v>44338</v>
      </c>
      <c r="H53" s="214">
        <f>G53+364</f>
        <v>44702</v>
      </c>
      <c r="I53" s="211">
        <v>59784</v>
      </c>
      <c r="J53" s="207">
        <v>41821.19</v>
      </c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</row>
    <row r="54" spans="1:33" s="169" customFormat="1" ht="30" outlineLevel="1" x14ac:dyDescent="0.3">
      <c r="A54" s="209">
        <v>54</v>
      </c>
      <c r="B54" s="209">
        <v>2017</v>
      </c>
      <c r="C54" s="216" t="s">
        <v>257</v>
      </c>
      <c r="D54" s="171" t="s">
        <v>241</v>
      </c>
      <c r="E54" s="210" t="s">
        <v>288</v>
      </c>
      <c r="F54" s="226" t="s">
        <v>131</v>
      </c>
      <c r="G54" s="214">
        <v>44251</v>
      </c>
      <c r="H54" s="212">
        <v>44615</v>
      </c>
      <c r="I54" s="211">
        <v>15618.6</v>
      </c>
      <c r="J54" s="207">
        <v>8013.9600000000009</v>
      </c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</row>
    <row r="55" spans="1:33" s="169" customFormat="1" ht="53.25" customHeight="1" outlineLevel="1" x14ac:dyDescent="0.3">
      <c r="A55" s="209">
        <v>55</v>
      </c>
      <c r="B55" s="209">
        <v>2017</v>
      </c>
      <c r="C55" s="216" t="s">
        <v>262</v>
      </c>
      <c r="D55" s="171" t="s">
        <v>198</v>
      </c>
      <c r="E55" s="210" t="s">
        <v>277</v>
      </c>
      <c r="F55" s="226" t="s">
        <v>131</v>
      </c>
      <c r="G55" s="214">
        <v>44311</v>
      </c>
      <c r="H55" s="214">
        <f t="shared" ref="H55" si="0">G55+364</f>
        <v>44675</v>
      </c>
      <c r="I55" s="211">
        <v>17500</v>
      </c>
      <c r="J55" s="207">
        <v>16897.919999999998</v>
      </c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</row>
    <row r="56" spans="1:33" s="193" customFormat="1" ht="53.25" customHeight="1" x14ac:dyDescent="0.3">
      <c r="A56" s="209">
        <v>56</v>
      </c>
      <c r="B56" s="209">
        <v>2016</v>
      </c>
      <c r="C56" s="216" t="s">
        <v>296</v>
      </c>
      <c r="D56" s="206" t="s">
        <v>202</v>
      </c>
      <c r="E56" s="210" t="s">
        <v>295</v>
      </c>
      <c r="F56" s="226" t="s">
        <v>131</v>
      </c>
      <c r="G56" s="214">
        <v>44437</v>
      </c>
      <c r="H56" s="214">
        <v>44557</v>
      </c>
      <c r="I56" s="222">
        <f>5901.2*4</f>
        <v>23604.799999999999</v>
      </c>
      <c r="J56" s="207">
        <v>23604.799999999999</v>
      </c>
    </row>
    <row r="57" spans="1:33" s="169" customFormat="1" ht="18.75" customHeight="1" x14ac:dyDescent="0.3">
      <c r="A57" s="223"/>
      <c r="B57" s="224"/>
      <c r="C57" s="228"/>
      <c r="D57" s="224"/>
      <c r="E57" s="224"/>
      <c r="F57" s="228"/>
      <c r="G57" s="224"/>
      <c r="H57" s="224"/>
      <c r="I57" s="224"/>
      <c r="J57" s="228"/>
    </row>
    <row r="58" spans="1:33" s="169" customFormat="1" ht="18.75" customHeight="1" x14ac:dyDescent="0.3">
      <c r="A58" s="223"/>
      <c r="B58" s="224"/>
      <c r="C58" s="228"/>
      <c r="D58" s="224"/>
      <c r="E58" s="224"/>
      <c r="F58" s="228"/>
      <c r="G58" s="224"/>
      <c r="H58" s="224"/>
      <c r="I58" s="224"/>
      <c r="J58" s="228"/>
    </row>
    <row r="59" spans="1:33" s="169" customFormat="1" x14ac:dyDescent="0.3">
      <c r="A59" s="217"/>
      <c r="B59" s="217"/>
      <c r="C59" s="233"/>
      <c r="D59" s="198"/>
      <c r="E59" s="218"/>
      <c r="F59" s="229"/>
      <c r="G59" s="219"/>
      <c r="H59" s="219"/>
      <c r="I59" s="220"/>
      <c r="J59" s="230"/>
    </row>
    <row r="68" ht="44.4" customHeight="1" x14ac:dyDescent="0.3"/>
  </sheetData>
  <sheetProtection formatCells="0" formatColumns="0" insertRows="0" sort="0" autoFilter="0"/>
  <autoFilter ref="A1:J56"/>
  <sortState ref="B3:BG17">
    <sortCondition ref="B3:B17"/>
    <sortCondition descending="1" ref="E3:E17"/>
  </sortState>
  <conditionalFormatting sqref="H32:H35 H7:H10 H50 H17 H37:H39 H43 H46:H47 H52:H55 H19:H25">
    <cfRule type="cellIs" dxfId="130" priority="226" stopIfTrue="1" operator="between">
      <formula>TODAY()+61</formula>
      <formula>TODAY()+180</formula>
    </cfRule>
    <cfRule type="cellIs" dxfId="129" priority="227" stopIfTrue="1" operator="between">
      <formula>TODAY()+31</formula>
      <formula>TODAY()+60</formula>
    </cfRule>
    <cfRule type="cellIs" dxfId="128" priority="228" stopIfTrue="1" operator="between">
      <formula>TODAY()+30</formula>
      <formula>TODAY()</formula>
    </cfRule>
  </conditionalFormatting>
  <conditionalFormatting sqref="H32:H35 H7:H10 H50 H17 H37:H39 H43 H46:H47 H52:H55 H19:H25">
    <cfRule type="cellIs" dxfId="127" priority="225" stopIfTrue="1" operator="between">
      <formula>TODAY()+181</formula>
      <formula>TODAY()+2000</formula>
    </cfRule>
  </conditionalFormatting>
  <conditionalFormatting sqref="H32:H35 H7:H10 H50 H17 H37:H39 H43 H46:H47 H52:H55 H19:H25">
    <cfRule type="cellIs" dxfId="126" priority="224" stopIfTrue="1" operator="lessThan">
      <formula>TODAY()</formula>
    </cfRule>
  </conditionalFormatting>
  <conditionalFormatting sqref="H29">
    <cfRule type="cellIs" dxfId="125" priority="153" stopIfTrue="1" operator="between">
      <formula>TODAY()+61</formula>
      <formula>TODAY()+180</formula>
    </cfRule>
    <cfRule type="cellIs" dxfId="124" priority="154" stopIfTrue="1" operator="between">
      <formula>TODAY()+31</formula>
      <formula>TODAY()+60</formula>
    </cfRule>
    <cfRule type="cellIs" dxfId="123" priority="155" stopIfTrue="1" operator="between">
      <formula>TODAY()+30</formula>
      <formula>TODAY()</formula>
    </cfRule>
  </conditionalFormatting>
  <conditionalFormatting sqref="H29">
    <cfRule type="cellIs" dxfId="122" priority="152" stopIfTrue="1" operator="between">
      <formula>TODAY()+181</formula>
      <formula>TODAY()+2000</formula>
    </cfRule>
  </conditionalFormatting>
  <conditionalFormatting sqref="H29">
    <cfRule type="cellIs" dxfId="121" priority="151" stopIfTrue="1" operator="lessThan">
      <formula>TODAY()</formula>
    </cfRule>
  </conditionalFormatting>
  <conditionalFormatting sqref="H5">
    <cfRule type="cellIs" dxfId="120" priority="138" stopIfTrue="1" operator="between">
      <formula>TODAY()+61</formula>
      <formula>TODAY()+180</formula>
    </cfRule>
    <cfRule type="cellIs" dxfId="119" priority="139" stopIfTrue="1" operator="between">
      <formula>TODAY()+31</formula>
      <formula>TODAY()+60</formula>
    </cfRule>
    <cfRule type="cellIs" dxfId="118" priority="140" stopIfTrue="1" operator="between">
      <formula>TODAY()+30</formula>
      <formula>TODAY()</formula>
    </cfRule>
  </conditionalFormatting>
  <conditionalFormatting sqref="H5">
    <cfRule type="cellIs" dxfId="117" priority="137" stopIfTrue="1" operator="between">
      <formula>TODAY()+181</formula>
      <formula>TODAY()+2000</formula>
    </cfRule>
  </conditionalFormatting>
  <conditionalFormatting sqref="H5">
    <cfRule type="cellIs" dxfId="116" priority="136" stopIfTrue="1" operator="lessThan">
      <formula>TODAY()</formula>
    </cfRule>
  </conditionalFormatting>
  <conditionalFormatting sqref="H2:H4">
    <cfRule type="cellIs" dxfId="115" priority="133" stopIfTrue="1" operator="between">
      <formula>TODAY()+61</formula>
      <formula>TODAY()+180</formula>
    </cfRule>
    <cfRule type="cellIs" dxfId="114" priority="134" stopIfTrue="1" operator="between">
      <formula>TODAY()+31</formula>
      <formula>TODAY()+60</formula>
    </cfRule>
    <cfRule type="cellIs" dxfId="113" priority="135" stopIfTrue="1" operator="between">
      <formula>TODAY()+30</formula>
      <formula>TODAY()</formula>
    </cfRule>
  </conditionalFormatting>
  <conditionalFormatting sqref="H2:H4">
    <cfRule type="cellIs" dxfId="112" priority="132" stopIfTrue="1" operator="between">
      <formula>TODAY()+181</formula>
      <formula>TODAY()+2000</formula>
    </cfRule>
  </conditionalFormatting>
  <conditionalFormatting sqref="H2:H4">
    <cfRule type="cellIs" dxfId="111" priority="131" stopIfTrue="1" operator="lessThan">
      <formula>TODAY()</formula>
    </cfRule>
  </conditionalFormatting>
  <conditionalFormatting sqref="H6">
    <cfRule type="cellIs" dxfId="110" priority="128" stopIfTrue="1" operator="between">
      <formula>TODAY()+61</formula>
      <formula>TODAY()+180</formula>
    </cfRule>
    <cfRule type="cellIs" dxfId="109" priority="129" stopIfTrue="1" operator="between">
      <formula>TODAY()+31</formula>
      <formula>TODAY()+60</formula>
    </cfRule>
    <cfRule type="cellIs" dxfId="108" priority="130" stopIfTrue="1" operator="between">
      <formula>TODAY()+30</formula>
      <formula>TODAY()</formula>
    </cfRule>
  </conditionalFormatting>
  <conditionalFormatting sqref="H6">
    <cfRule type="cellIs" dxfId="107" priority="127" stopIfTrue="1" operator="between">
      <formula>TODAY()+181</formula>
      <formula>TODAY()+2000</formula>
    </cfRule>
  </conditionalFormatting>
  <conditionalFormatting sqref="H6">
    <cfRule type="cellIs" dxfId="106" priority="126" stopIfTrue="1" operator="lessThan">
      <formula>TODAY()</formula>
    </cfRule>
  </conditionalFormatting>
  <conditionalFormatting sqref="H11:H16">
    <cfRule type="cellIs" dxfId="105" priority="123" stopIfTrue="1" operator="between">
      <formula>TODAY()+61</formula>
      <formula>TODAY()+180</formula>
    </cfRule>
    <cfRule type="cellIs" dxfId="104" priority="124" stopIfTrue="1" operator="between">
      <formula>TODAY()+31</formula>
      <formula>TODAY()+60</formula>
    </cfRule>
    <cfRule type="cellIs" dxfId="103" priority="125" stopIfTrue="1" operator="between">
      <formula>TODAY()+30</formula>
      <formula>TODAY()</formula>
    </cfRule>
  </conditionalFormatting>
  <conditionalFormatting sqref="H11:H16">
    <cfRule type="cellIs" dxfId="102" priority="122" stopIfTrue="1" operator="between">
      <formula>TODAY()+181</formula>
      <formula>TODAY()+2000</formula>
    </cfRule>
  </conditionalFormatting>
  <conditionalFormatting sqref="H11:H16">
    <cfRule type="cellIs" dxfId="101" priority="121" stopIfTrue="1" operator="lessThan">
      <formula>TODAY()</formula>
    </cfRule>
  </conditionalFormatting>
  <conditionalFormatting sqref="H51">
    <cfRule type="cellIs" dxfId="100" priority="103" stopIfTrue="1" operator="between">
      <formula>TODAY()+61</formula>
      <formula>TODAY()+180</formula>
    </cfRule>
    <cfRule type="cellIs" dxfId="99" priority="104" stopIfTrue="1" operator="between">
      <formula>TODAY()+31</formula>
      <formula>TODAY()+60</formula>
    </cfRule>
    <cfRule type="cellIs" dxfId="98" priority="105" stopIfTrue="1" operator="between">
      <formula>TODAY()+30</formula>
      <formula>TODAY()</formula>
    </cfRule>
  </conditionalFormatting>
  <conditionalFormatting sqref="H51">
    <cfRule type="cellIs" dxfId="97" priority="102" stopIfTrue="1" operator="between">
      <formula>TODAY()+181</formula>
      <formula>TODAY()+2000</formula>
    </cfRule>
  </conditionalFormatting>
  <conditionalFormatting sqref="H51">
    <cfRule type="cellIs" dxfId="96" priority="101" stopIfTrue="1" operator="lessThan">
      <formula>TODAY()</formula>
    </cfRule>
  </conditionalFormatting>
  <conditionalFormatting sqref="H42">
    <cfRule type="cellIs" dxfId="95" priority="98" stopIfTrue="1" operator="between">
      <formula>TODAY()+61</formula>
      <formula>TODAY()+180</formula>
    </cfRule>
    <cfRule type="cellIs" dxfId="94" priority="99" stopIfTrue="1" operator="between">
      <formula>TODAY()+31</formula>
      <formula>TODAY()+60</formula>
    </cfRule>
    <cfRule type="cellIs" dxfId="93" priority="100" stopIfTrue="1" operator="between">
      <formula>TODAY()+30</formula>
      <formula>TODAY()</formula>
    </cfRule>
  </conditionalFormatting>
  <conditionalFormatting sqref="H42">
    <cfRule type="cellIs" dxfId="92" priority="97" stopIfTrue="1" operator="between">
      <formula>TODAY()+181</formula>
      <formula>TODAY()+2000</formula>
    </cfRule>
  </conditionalFormatting>
  <conditionalFormatting sqref="H42">
    <cfRule type="cellIs" dxfId="91" priority="96" stopIfTrue="1" operator="lessThan">
      <formula>TODAY()</formula>
    </cfRule>
  </conditionalFormatting>
  <conditionalFormatting sqref="H28">
    <cfRule type="cellIs" dxfId="90" priority="83" stopIfTrue="1" operator="between">
      <formula>TODAY()+61</formula>
      <formula>TODAY()+180</formula>
    </cfRule>
    <cfRule type="cellIs" dxfId="89" priority="84" stopIfTrue="1" operator="between">
      <formula>TODAY()+31</formula>
      <formula>TODAY()+60</formula>
    </cfRule>
    <cfRule type="cellIs" dxfId="88" priority="85" stopIfTrue="1" operator="between">
      <formula>TODAY()+30</formula>
      <formula>TODAY()</formula>
    </cfRule>
  </conditionalFormatting>
  <conditionalFormatting sqref="H28">
    <cfRule type="cellIs" dxfId="87" priority="82" stopIfTrue="1" operator="between">
      <formula>TODAY()+181</formula>
      <formula>TODAY()+2000</formula>
    </cfRule>
  </conditionalFormatting>
  <conditionalFormatting sqref="H28">
    <cfRule type="cellIs" dxfId="86" priority="81" stopIfTrue="1" operator="lessThan">
      <formula>TODAY()</formula>
    </cfRule>
  </conditionalFormatting>
  <conditionalFormatting sqref="H27">
    <cfRule type="cellIs" dxfId="85" priority="71" stopIfTrue="1" operator="lessThan">
      <formula>TODAY()</formula>
    </cfRule>
  </conditionalFormatting>
  <conditionalFormatting sqref="H27">
    <cfRule type="cellIs" dxfId="84" priority="73" stopIfTrue="1" operator="between">
      <formula>TODAY()+61</formula>
      <formula>TODAY()+180</formula>
    </cfRule>
    <cfRule type="cellIs" dxfId="83" priority="74" stopIfTrue="1" operator="between">
      <formula>TODAY()+31</formula>
      <formula>TODAY()+60</formula>
    </cfRule>
    <cfRule type="cellIs" dxfId="82" priority="75" stopIfTrue="1" operator="between">
      <formula>TODAY()+30</formula>
      <formula>TODAY()</formula>
    </cfRule>
  </conditionalFormatting>
  <conditionalFormatting sqref="H27">
    <cfRule type="cellIs" dxfId="81" priority="72" stopIfTrue="1" operator="between">
      <formula>TODAY()+181</formula>
      <formula>TODAY()+2000</formula>
    </cfRule>
  </conditionalFormatting>
  <conditionalFormatting sqref="H26">
    <cfRule type="cellIs" dxfId="80" priority="66" stopIfTrue="1" operator="lessThan">
      <formula>TODAY()</formula>
    </cfRule>
  </conditionalFormatting>
  <conditionalFormatting sqref="H26">
    <cfRule type="cellIs" dxfId="79" priority="68" stopIfTrue="1" operator="between">
      <formula>TODAY()+61</formula>
      <formula>TODAY()+180</formula>
    </cfRule>
    <cfRule type="cellIs" dxfId="78" priority="69" stopIfTrue="1" operator="between">
      <formula>TODAY()+31</formula>
      <formula>TODAY()+60</formula>
    </cfRule>
    <cfRule type="cellIs" dxfId="77" priority="70" stopIfTrue="1" operator="between">
      <formula>TODAY()+30</formula>
      <formula>TODAY()</formula>
    </cfRule>
  </conditionalFormatting>
  <conditionalFormatting sqref="H26">
    <cfRule type="cellIs" dxfId="76" priority="67" stopIfTrue="1" operator="between">
      <formula>TODAY()+181</formula>
      <formula>TODAY()+2000</formula>
    </cfRule>
  </conditionalFormatting>
  <conditionalFormatting sqref="H18">
    <cfRule type="cellIs" dxfId="75" priority="63" stopIfTrue="1" operator="between">
      <formula>TODAY()+61</formula>
      <formula>TODAY()+180</formula>
    </cfRule>
    <cfRule type="cellIs" dxfId="74" priority="64" stopIfTrue="1" operator="between">
      <formula>TODAY()+31</formula>
      <formula>TODAY()+60</formula>
    </cfRule>
    <cfRule type="cellIs" dxfId="73" priority="65" stopIfTrue="1" operator="between">
      <formula>TODAY()+30</formula>
      <formula>TODAY()</formula>
    </cfRule>
  </conditionalFormatting>
  <conditionalFormatting sqref="H18">
    <cfRule type="cellIs" dxfId="72" priority="62" stopIfTrue="1" operator="between">
      <formula>TODAY()+181</formula>
      <formula>TODAY()+2000</formula>
    </cfRule>
  </conditionalFormatting>
  <conditionalFormatting sqref="H18">
    <cfRule type="cellIs" dxfId="71" priority="61" stopIfTrue="1" operator="lessThan">
      <formula>TODAY()</formula>
    </cfRule>
  </conditionalFormatting>
  <conditionalFormatting sqref="H30">
    <cfRule type="cellIs" dxfId="70" priority="58" stopIfTrue="1" operator="between">
      <formula>TODAY()+61</formula>
      <formula>TODAY()+180</formula>
    </cfRule>
    <cfRule type="cellIs" dxfId="69" priority="59" stopIfTrue="1" operator="between">
      <formula>TODAY()+31</formula>
      <formula>TODAY()+60</formula>
    </cfRule>
    <cfRule type="cellIs" dxfId="68" priority="60" stopIfTrue="1" operator="between">
      <formula>TODAY()+30</formula>
      <formula>TODAY()</formula>
    </cfRule>
  </conditionalFormatting>
  <conditionalFormatting sqref="H30">
    <cfRule type="cellIs" dxfId="67" priority="57" stopIfTrue="1" operator="between">
      <formula>TODAY()+181</formula>
      <formula>TODAY()+2000</formula>
    </cfRule>
  </conditionalFormatting>
  <conditionalFormatting sqref="H30">
    <cfRule type="cellIs" dxfId="66" priority="56" stopIfTrue="1" operator="lessThan">
      <formula>TODAY()</formula>
    </cfRule>
  </conditionalFormatting>
  <conditionalFormatting sqref="H31">
    <cfRule type="cellIs" dxfId="65" priority="53" stopIfTrue="1" operator="between">
      <formula>TODAY()+61</formula>
      <formula>TODAY()+180</formula>
    </cfRule>
    <cfRule type="cellIs" dxfId="64" priority="54" stopIfTrue="1" operator="between">
      <formula>TODAY()+31</formula>
      <formula>TODAY()+60</formula>
    </cfRule>
    <cfRule type="cellIs" dxfId="63" priority="55" stopIfTrue="1" operator="between">
      <formula>TODAY()+30</formula>
      <formula>TODAY()</formula>
    </cfRule>
  </conditionalFormatting>
  <conditionalFormatting sqref="H31">
    <cfRule type="cellIs" dxfId="62" priority="52" stopIfTrue="1" operator="between">
      <formula>TODAY()+181</formula>
      <formula>TODAY()+2000</formula>
    </cfRule>
  </conditionalFormatting>
  <conditionalFormatting sqref="H31">
    <cfRule type="cellIs" dxfId="61" priority="51" stopIfTrue="1" operator="lessThan">
      <formula>TODAY()</formula>
    </cfRule>
  </conditionalFormatting>
  <conditionalFormatting sqref="H36">
    <cfRule type="cellIs" dxfId="60" priority="38" stopIfTrue="1" operator="between">
      <formula>TODAY()+61</formula>
      <formula>TODAY()+180</formula>
    </cfRule>
    <cfRule type="cellIs" dxfId="59" priority="39" stopIfTrue="1" operator="between">
      <formula>TODAY()+31</formula>
      <formula>TODAY()+60</formula>
    </cfRule>
    <cfRule type="cellIs" dxfId="58" priority="40" stopIfTrue="1" operator="between">
      <formula>TODAY()+30</formula>
      <formula>TODAY()</formula>
    </cfRule>
  </conditionalFormatting>
  <conditionalFormatting sqref="H36">
    <cfRule type="cellIs" dxfId="57" priority="37" stopIfTrue="1" operator="between">
      <formula>TODAY()+181</formula>
      <formula>TODAY()+2000</formula>
    </cfRule>
  </conditionalFormatting>
  <conditionalFormatting sqref="H36">
    <cfRule type="cellIs" dxfId="56" priority="36" stopIfTrue="1" operator="lessThan">
      <formula>TODAY()</formula>
    </cfRule>
  </conditionalFormatting>
  <conditionalFormatting sqref="H40">
    <cfRule type="cellIs" dxfId="55" priority="31" stopIfTrue="1" operator="lessThan">
      <formula>TODAY()</formula>
    </cfRule>
  </conditionalFormatting>
  <conditionalFormatting sqref="H40">
    <cfRule type="cellIs" dxfId="54" priority="33" stopIfTrue="1" operator="between">
      <formula>TODAY()+61</formula>
      <formula>TODAY()+180</formula>
    </cfRule>
    <cfRule type="cellIs" dxfId="53" priority="34" stopIfTrue="1" operator="between">
      <formula>TODAY()+31</formula>
      <formula>TODAY()+60</formula>
    </cfRule>
    <cfRule type="cellIs" dxfId="52" priority="35" stopIfTrue="1" operator="between">
      <formula>TODAY()+30</formula>
      <formula>TODAY()</formula>
    </cfRule>
  </conditionalFormatting>
  <conditionalFormatting sqref="H40">
    <cfRule type="cellIs" dxfId="51" priority="32" stopIfTrue="1" operator="between">
      <formula>TODAY()+181</formula>
      <formula>TODAY()+2000</formula>
    </cfRule>
  </conditionalFormatting>
  <conditionalFormatting sqref="H41">
    <cfRule type="cellIs" dxfId="50" priority="26" stopIfTrue="1" operator="lessThan">
      <formula>TODAY()</formula>
    </cfRule>
  </conditionalFormatting>
  <conditionalFormatting sqref="H41">
    <cfRule type="cellIs" dxfId="49" priority="28" stopIfTrue="1" operator="between">
      <formula>TODAY()+61</formula>
      <formula>TODAY()+180</formula>
    </cfRule>
    <cfRule type="cellIs" dxfId="48" priority="29" stopIfTrue="1" operator="between">
      <formula>TODAY()+31</formula>
      <formula>TODAY()+60</formula>
    </cfRule>
    <cfRule type="cellIs" dxfId="47" priority="30" stopIfTrue="1" operator="between">
      <formula>TODAY()+30</formula>
      <formula>TODAY()</formula>
    </cfRule>
  </conditionalFormatting>
  <conditionalFormatting sqref="H41">
    <cfRule type="cellIs" dxfId="46" priority="27" stopIfTrue="1" operator="between">
      <formula>TODAY()+181</formula>
      <formula>TODAY()+2000</formula>
    </cfRule>
  </conditionalFormatting>
  <conditionalFormatting sqref="H44">
    <cfRule type="cellIs" dxfId="45" priority="21" stopIfTrue="1" operator="lessThan">
      <formula>TODAY()</formula>
    </cfRule>
  </conditionalFormatting>
  <conditionalFormatting sqref="H44">
    <cfRule type="cellIs" dxfId="44" priority="23" stopIfTrue="1" operator="between">
      <formula>TODAY()+61</formula>
      <formula>TODAY()+180</formula>
    </cfRule>
    <cfRule type="cellIs" dxfId="43" priority="24" stopIfTrue="1" operator="between">
      <formula>TODAY()+31</formula>
      <formula>TODAY()+60</formula>
    </cfRule>
    <cfRule type="cellIs" dxfId="42" priority="25" stopIfTrue="1" operator="between">
      <formula>TODAY()+30</formula>
      <formula>TODAY()</formula>
    </cfRule>
  </conditionalFormatting>
  <conditionalFormatting sqref="H44">
    <cfRule type="cellIs" dxfId="41" priority="22" stopIfTrue="1" operator="between">
      <formula>TODAY()+181</formula>
      <formula>TODAY()+2000</formula>
    </cfRule>
  </conditionalFormatting>
  <conditionalFormatting sqref="H45">
    <cfRule type="cellIs" dxfId="40" priority="16" stopIfTrue="1" operator="lessThan">
      <formula>TODAY()</formula>
    </cfRule>
  </conditionalFormatting>
  <conditionalFormatting sqref="H45">
    <cfRule type="cellIs" dxfId="39" priority="18" stopIfTrue="1" operator="between">
      <formula>TODAY()+61</formula>
      <formula>TODAY()+180</formula>
    </cfRule>
    <cfRule type="cellIs" dxfId="38" priority="19" stopIfTrue="1" operator="between">
      <formula>TODAY()+31</formula>
      <formula>TODAY()+60</formula>
    </cfRule>
    <cfRule type="cellIs" dxfId="37" priority="20" stopIfTrue="1" operator="between">
      <formula>TODAY()+30</formula>
      <formula>TODAY()</formula>
    </cfRule>
  </conditionalFormatting>
  <conditionalFormatting sqref="H45">
    <cfRule type="cellIs" dxfId="36" priority="17" stopIfTrue="1" operator="between">
      <formula>TODAY()+181</formula>
      <formula>TODAY()+2000</formula>
    </cfRule>
  </conditionalFormatting>
  <conditionalFormatting sqref="H48">
    <cfRule type="cellIs" dxfId="35" priority="13" stopIfTrue="1" operator="between">
      <formula>TODAY()+61</formula>
      <formula>TODAY()+180</formula>
    </cfRule>
    <cfRule type="cellIs" dxfId="34" priority="14" stopIfTrue="1" operator="between">
      <formula>TODAY()+31</formula>
      <formula>TODAY()+60</formula>
    </cfRule>
    <cfRule type="cellIs" dxfId="33" priority="15" stopIfTrue="1" operator="between">
      <formula>TODAY()+30</formula>
      <formula>TODAY()</formula>
    </cfRule>
  </conditionalFormatting>
  <conditionalFormatting sqref="H48">
    <cfRule type="cellIs" dxfId="32" priority="12" stopIfTrue="1" operator="between">
      <formula>TODAY()+181</formula>
      <formula>TODAY()+2000</formula>
    </cfRule>
  </conditionalFormatting>
  <conditionalFormatting sqref="H48">
    <cfRule type="cellIs" dxfId="31" priority="11" stopIfTrue="1" operator="lessThan">
      <formula>TODAY()</formula>
    </cfRule>
  </conditionalFormatting>
  <conditionalFormatting sqref="H56">
    <cfRule type="cellIs" dxfId="30" priority="8" stopIfTrue="1" operator="between">
      <formula>TODAY()+61</formula>
      <formula>TODAY()+180</formula>
    </cfRule>
    <cfRule type="cellIs" dxfId="29" priority="9" stopIfTrue="1" operator="between">
      <formula>TODAY()+31</formula>
      <formula>TODAY()+60</formula>
    </cfRule>
    <cfRule type="cellIs" dxfId="28" priority="10" stopIfTrue="1" operator="between">
      <formula>TODAY()+30</formula>
      <formula>TODAY()</formula>
    </cfRule>
  </conditionalFormatting>
  <conditionalFormatting sqref="H56">
    <cfRule type="cellIs" dxfId="27" priority="7" stopIfTrue="1" operator="between">
      <formula>TODAY()+181</formula>
      <formula>TODAY()+2000</formula>
    </cfRule>
  </conditionalFormatting>
  <conditionalFormatting sqref="H56">
    <cfRule type="cellIs" dxfId="26" priority="6" stopIfTrue="1" operator="lessThan">
      <formula>TODAY()</formula>
    </cfRule>
  </conditionalFormatting>
  <conditionalFormatting sqref="H49">
    <cfRule type="cellIs" dxfId="25" priority="3" stopIfTrue="1" operator="between">
      <formula>TODAY()+61</formula>
      <formula>TODAY()+180</formula>
    </cfRule>
    <cfRule type="cellIs" dxfId="24" priority="4" stopIfTrue="1" operator="between">
      <formula>TODAY()+31</formula>
      <formula>TODAY()+60</formula>
    </cfRule>
    <cfRule type="cellIs" dxfId="23" priority="5" stopIfTrue="1" operator="between">
      <formula>TODAY()+30</formula>
      <formula>TODAY()</formula>
    </cfRule>
  </conditionalFormatting>
  <conditionalFormatting sqref="H49">
    <cfRule type="cellIs" dxfId="22" priority="2" stopIfTrue="1" operator="between">
      <formula>TODAY()+181</formula>
      <formula>TODAY()+2000</formula>
    </cfRule>
  </conditionalFormatting>
  <conditionalFormatting sqref="H49">
    <cfRule type="cellIs" dxfId="21" priority="1" stopIfTrue="1" operator="lessThan">
      <formula>TODAY()</formula>
    </cfRule>
  </conditionalFormatting>
  <printOptions horizontalCentered="1"/>
  <pageMargins left="0.39370078740157483" right="0.39370078740157483" top="0.78740157480314965" bottom="0.39370078740157483" header="0.51181102362204722" footer="0.51181102362204722"/>
  <pageSetup scale="70" orientation="landscape" horizontalDpi="300" verticalDpi="300" r:id="rId1"/>
  <headerFooter alignWithMargins="0">
    <oddHeader>&amp;C&amp;"Arial,Negrito"&amp;16MAPA DE CONTROLE DE CONTRATOS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view="pageBreakPreview" zoomScaleSheetLayoutView="100" workbookViewId="0">
      <selection activeCell="J25" sqref="J25"/>
    </sheetView>
  </sheetViews>
  <sheetFormatPr defaultColWidth="9.109375" defaultRowHeight="14.4" x14ac:dyDescent="0.3"/>
  <cols>
    <col min="1" max="1" width="17.33203125" style="6" customWidth="1"/>
    <col min="2" max="2" width="12.109375" style="6" customWidth="1"/>
    <col min="3" max="4" width="14.109375" style="3" customWidth="1"/>
    <col min="5" max="5" width="11.109375" style="6" customWidth="1"/>
    <col min="6" max="7" width="9.109375" style="6"/>
    <col min="8" max="8" width="9.88671875" style="6" bestFit="1" customWidth="1"/>
    <col min="9" max="16384" width="9.109375" style="6"/>
  </cols>
  <sheetData>
    <row r="1" spans="1:8" s="52" customFormat="1" ht="33" customHeight="1" x14ac:dyDescent="0.3">
      <c r="A1" s="47" t="s">
        <v>76</v>
      </c>
      <c r="B1" s="146" t="s">
        <v>125</v>
      </c>
      <c r="C1" s="144" t="s">
        <v>128</v>
      </c>
      <c r="D1" s="144" t="s">
        <v>61</v>
      </c>
      <c r="E1" s="149">
        <v>27537.040000000001</v>
      </c>
      <c r="F1" s="144" t="s">
        <v>62</v>
      </c>
      <c r="G1" s="151">
        <v>43588</v>
      </c>
      <c r="H1" s="154"/>
    </row>
    <row r="2" spans="1:8" s="52" customFormat="1" ht="20.399999999999999" x14ac:dyDescent="0.3">
      <c r="A2" s="47" t="s">
        <v>63</v>
      </c>
      <c r="B2" s="147">
        <f>C19/E2</f>
        <v>0.56518803418803421</v>
      </c>
      <c r="C2" s="148">
        <f>E1-D19</f>
        <v>13879.590000000002</v>
      </c>
      <c r="D2" s="144" t="s">
        <v>126</v>
      </c>
      <c r="E2" s="150">
        <v>234000</v>
      </c>
      <c r="F2" s="144" t="s">
        <v>65</v>
      </c>
      <c r="G2" s="152">
        <v>43953</v>
      </c>
      <c r="H2" s="154"/>
    </row>
    <row r="3" spans="1:8" s="52" customFormat="1" ht="10.199999999999999" x14ac:dyDescent="0.3">
      <c r="H3" s="154"/>
    </row>
    <row r="4" spans="1:8" x14ac:dyDescent="0.3">
      <c r="A4" s="234" t="s">
        <v>48</v>
      </c>
      <c r="B4" s="234"/>
      <c r="C4" s="234"/>
      <c r="D4" s="234"/>
    </row>
    <row r="5" spans="1:8" s="3" customFormat="1" x14ac:dyDescent="0.3">
      <c r="A5" s="234" t="s">
        <v>49</v>
      </c>
      <c r="B5" s="234"/>
      <c r="C5" s="234" t="s">
        <v>78</v>
      </c>
      <c r="D5" s="234"/>
      <c r="E5" s="6"/>
      <c r="H5" s="6"/>
    </row>
    <row r="6" spans="1:8" s="3" customFormat="1" x14ac:dyDescent="0.3">
      <c r="A6" s="143" t="s">
        <v>50</v>
      </c>
      <c r="B6" s="143" t="s">
        <v>51</v>
      </c>
      <c r="C6" s="143" t="s">
        <v>20</v>
      </c>
      <c r="D6" s="143" t="s">
        <v>127</v>
      </c>
      <c r="E6" s="6"/>
      <c r="H6" s="6" t="s">
        <v>129</v>
      </c>
    </row>
    <row r="7" spans="1:8" x14ac:dyDescent="0.3">
      <c r="A7" s="14">
        <v>43586</v>
      </c>
      <c r="B7" s="14">
        <v>43617</v>
      </c>
      <c r="C7" s="43">
        <v>12889</v>
      </c>
      <c r="D7" s="66">
        <v>1323.78</v>
      </c>
      <c r="H7" s="153">
        <f t="shared" ref="H7:H14" si="0">D7/12889</f>
        <v>0.10270618356738304</v>
      </c>
    </row>
    <row r="8" spans="1:8" x14ac:dyDescent="0.3">
      <c r="A8" s="14">
        <v>43617</v>
      </c>
      <c r="B8" s="14">
        <v>43647</v>
      </c>
      <c r="C8" s="43">
        <v>15725</v>
      </c>
      <c r="D8" s="66">
        <v>1615.06</v>
      </c>
      <c r="H8" s="153">
        <f t="shared" si="0"/>
        <v>0.12530529909224919</v>
      </c>
    </row>
    <row r="9" spans="1:8" x14ac:dyDescent="0.3">
      <c r="A9" s="14">
        <v>43647</v>
      </c>
      <c r="B9" s="14">
        <v>43678</v>
      </c>
      <c r="C9" s="43">
        <v>9423</v>
      </c>
      <c r="D9" s="66">
        <v>1041.8599999999999</v>
      </c>
      <c r="H9" s="153">
        <f t="shared" si="0"/>
        <v>8.0833268678718276E-2</v>
      </c>
    </row>
    <row r="10" spans="1:8" x14ac:dyDescent="0.3">
      <c r="A10" s="14">
        <v>43678</v>
      </c>
      <c r="B10" s="14">
        <v>43709</v>
      </c>
      <c r="C10" s="43">
        <v>15013</v>
      </c>
      <c r="D10" s="66">
        <v>1541.94</v>
      </c>
      <c r="H10" s="153">
        <f t="shared" si="0"/>
        <v>0.11963224454961596</v>
      </c>
    </row>
    <row r="11" spans="1:8" x14ac:dyDescent="0.3">
      <c r="A11" s="14">
        <v>43709</v>
      </c>
      <c r="B11" s="14">
        <v>43739</v>
      </c>
      <c r="C11" s="43">
        <v>19085</v>
      </c>
      <c r="D11" s="66">
        <v>1960.17</v>
      </c>
      <c r="H11" s="153">
        <f t="shared" si="0"/>
        <v>0.15208084413065406</v>
      </c>
    </row>
    <row r="12" spans="1:8" x14ac:dyDescent="0.3">
      <c r="A12" s="14">
        <v>43739</v>
      </c>
      <c r="B12" s="14">
        <v>43770</v>
      </c>
      <c r="C12" s="43">
        <v>16124</v>
      </c>
      <c r="D12" s="66">
        <v>1656.04</v>
      </c>
      <c r="H12" s="153">
        <f t="shared" si="0"/>
        <v>0.12848475444177204</v>
      </c>
    </row>
    <row r="13" spans="1:8" x14ac:dyDescent="0.3">
      <c r="A13" s="14">
        <v>43770</v>
      </c>
      <c r="B13" s="14">
        <v>43800</v>
      </c>
      <c r="C13" s="43">
        <v>22192</v>
      </c>
      <c r="D13" s="66">
        <v>2279.2800000000002</v>
      </c>
      <c r="H13" s="153">
        <f t="shared" si="0"/>
        <v>0.17683916517961054</v>
      </c>
    </row>
    <row r="14" spans="1:8" x14ac:dyDescent="0.3">
      <c r="A14" s="14">
        <v>43800</v>
      </c>
      <c r="B14" s="14">
        <v>43831</v>
      </c>
      <c r="C14" s="43">
        <v>21803</v>
      </c>
      <c r="D14" s="66">
        <v>2239.3200000000002</v>
      </c>
      <c r="H14" s="153">
        <f t="shared" si="0"/>
        <v>0.1737388470789045</v>
      </c>
    </row>
    <row r="15" spans="1:8" x14ac:dyDescent="0.3">
      <c r="A15" s="14">
        <v>43831</v>
      </c>
      <c r="B15" s="14">
        <v>43862</v>
      </c>
      <c r="C15" s="43"/>
      <c r="D15" s="66"/>
    </row>
    <row r="16" spans="1:8" x14ac:dyDescent="0.3">
      <c r="A16" s="14">
        <v>43862</v>
      </c>
      <c r="B16" s="14">
        <v>43891</v>
      </c>
      <c r="C16" s="43"/>
      <c r="D16" s="66"/>
    </row>
    <row r="17" spans="1:4" x14ac:dyDescent="0.3">
      <c r="A17" s="14">
        <v>43891</v>
      </c>
      <c r="B17" s="14">
        <v>43922</v>
      </c>
      <c r="C17" s="43"/>
      <c r="D17" s="66"/>
    </row>
    <row r="18" spans="1:4" x14ac:dyDescent="0.3">
      <c r="A18" s="14">
        <v>43922</v>
      </c>
      <c r="B18" s="14">
        <v>43952</v>
      </c>
      <c r="C18" s="43"/>
      <c r="D18" s="66"/>
    </row>
    <row r="19" spans="1:4" x14ac:dyDescent="0.3">
      <c r="A19" s="143" t="s">
        <v>31</v>
      </c>
      <c r="B19" s="143"/>
      <c r="C19" s="45">
        <f>SUM(C7:C18)</f>
        <v>132254</v>
      </c>
      <c r="D19" s="67">
        <f>SUM(D7:D18)</f>
        <v>13657.449999999999</v>
      </c>
    </row>
    <row r="20" spans="1:4" x14ac:dyDescent="0.3">
      <c r="A20" s="143" t="s">
        <v>55</v>
      </c>
      <c r="B20" s="143"/>
      <c r="C20" s="45">
        <f>MEDIAN(C7:C18)</f>
        <v>15924.5</v>
      </c>
      <c r="D20" s="67">
        <f>MEDIAN(D7:D18)</f>
        <v>1635.55</v>
      </c>
    </row>
  </sheetData>
  <mergeCells count="3">
    <mergeCell ref="A4:D4"/>
    <mergeCell ref="A5:B5"/>
    <mergeCell ref="C5:D5"/>
  </mergeCells>
  <conditionalFormatting sqref="G2">
    <cfRule type="cellIs" dxfId="3" priority="1" stopIfTrue="1" operator="lessThan">
      <formula>TODAY()</formula>
    </cfRule>
  </conditionalFormatting>
  <pageMargins left="0.39370078740157483" right="0.39370078740157483" top="0.98425196850393704" bottom="0.78740157480314965" header="0.31496062992125984" footer="0.31496062992125984"/>
  <pageSetup paperSize="9" orientation="portrait" r:id="rId1"/>
  <headerFooter>
    <oddHeader>&amp;C&amp;"-,Negrito"&amp;12ACOMPANHAMENTO DE CONTRATOSDATAVOICE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01"/>
  <sheetViews>
    <sheetView zoomScale="85" zoomScaleSheetLayoutView="100" zoomScalePageLayoutView="85" workbookViewId="0">
      <selection activeCell="I17" sqref="I17"/>
    </sheetView>
  </sheetViews>
  <sheetFormatPr defaultColWidth="9.109375" defaultRowHeight="14.4" x14ac:dyDescent="0.3"/>
  <cols>
    <col min="1" max="1" width="17.44140625" style="3" customWidth="1"/>
    <col min="2" max="2" width="7.44140625" style="3" bestFit="1" customWidth="1"/>
    <col min="3" max="3" width="12.5546875" style="3" customWidth="1"/>
    <col min="4" max="4" width="13" style="3" customWidth="1"/>
    <col min="5" max="5" width="9.109375" style="3"/>
    <col min="6" max="6" width="4.5546875" style="3" bestFit="1" customWidth="1"/>
    <col min="7" max="16384" width="9.109375" style="3"/>
  </cols>
  <sheetData>
    <row r="1" spans="1:13" s="52" customFormat="1" ht="33" customHeight="1" x14ac:dyDescent="0.3">
      <c r="A1" s="47" t="s">
        <v>76</v>
      </c>
      <c r="B1" s="128" t="s">
        <v>123</v>
      </c>
      <c r="C1" s="49" t="s">
        <v>61</v>
      </c>
      <c r="D1" s="48">
        <v>4500</v>
      </c>
      <c r="E1" s="49" t="s">
        <v>79</v>
      </c>
      <c r="F1" s="73">
        <v>1000</v>
      </c>
      <c r="G1" s="49" t="s">
        <v>62</v>
      </c>
      <c r="H1" s="50">
        <v>43699</v>
      </c>
      <c r="J1" s="51"/>
      <c r="K1" s="51"/>
    </row>
    <row r="2" spans="1:13" s="52" customFormat="1" ht="26.25" customHeight="1" x14ac:dyDescent="0.3">
      <c r="A2" s="47" t="s">
        <v>63</v>
      </c>
      <c r="B2" s="53">
        <f>D18/D1</f>
        <v>0.41299999999999998</v>
      </c>
      <c r="C2" s="49" t="s">
        <v>54</v>
      </c>
      <c r="D2" s="54">
        <f>D1-D18</f>
        <v>2641.5</v>
      </c>
      <c r="E2" s="49" t="s">
        <v>80</v>
      </c>
      <c r="F2" s="73">
        <f>C18</f>
        <v>413</v>
      </c>
      <c r="G2" s="49" t="s">
        <v>65</v>
      </c>
      <c r="H2" s="55">
        <f>H1+364</f>
        <v>44063</v>
      </c>
      <c r="J2" s="51"/>
      <c r="K2" s="51"/>
    </row>
    <row r="3" spans="1:13" s="52" customFormat="1" ht="26.25" customHeight="1" x14ac:dyDescent="0.3">
      <c r="A3" s="71"/>
      <c r="B3" s="71"/>
      <c r="C3" s="71"/>
      <c r="D3" s="71"/>
      <c r="E3" s="71"/>
      <c r="F3" s="71"/>
      <c r="J3" s="51"/>
      <c r="K3" s="51"/>
    </row>
    <row r="4" spans="1:13" x14ac:dyDescent="0.3">
      <c r="A4" s="262" t="s">
        <v>49</v>
      </c>
      <c r="B4" s="263"/>
      <c r="C4" s="262" t="s">
        <v>78</v>
      </c>
      <c r="D4" s="263"/>
      <c r="G4" s="52"/>
      <c r="H4" s="52"/>
      <c r="I4" s="52"/>
      <c r="J4" s="51"/>
      <c r="K4" s="51"/>
      <c r="L4" s="52"/>
      <c r="M4" s="52"/>
    </row>
    <row r="5" spans="1:13" x14ac:dyDescent="0.3">
      <c r="A5" s="13" t="s">
        <v>50</v>
      </c>
      <c r="B5" s="13" t="s">
        <v>51</v>
      </c>
      <c r="C5" s="13" t="s">
        <v>1</v>
      </c>
      <c r="D5" s="13" t="s">
        <v>66</v>
      </c>
      <c r="G5" s="52"/>
      <c r="H5" s="52"/>
      <c r="I5" s="52"/>
      <c r="J5" s="51"/>
      <c r="K5" s="51"/>
      <c r="L5" s="52"/>
      <c r="M5" s="52"/>
    </row>
    <row r="6" spans="1:13" x14ac:dyDescent="0.3">
      <c r="A6" s="14">
        <v>43678</v>
      </c>
      <c r="B6" s="14">
        <v>43709</v>
      </c>
      <c r="C6" s="15">
        <v>43</v>
      </c>
      <c r="D6" s="66">
        <f>C6*4.5</f>
        <v>193.5</v>
      </c>
      <c r="G6" s="52"/>
      <c r="H6" s="52"/>
      <c r="I6" s="52"/>
      <c r="J6" s="51"/>
      <c r="K6" s="51"/>
      <c r="L6" s="52"/>
      <c r="M6" s="52"/>
    </row>
    <row r="7" spans="1:13" x14ac:dyDescent="0.3">
      <c r="A7" s="14">
        <v>43709</v>
      </c>
      <c r="B7" s="14">
        <v>43739</v>
      </c>
      <c r="C7" s="15">
        <v>52</v>
      </c>
      <c r="D7" s="66">
        <f>C7*4.5</f>
        <v>234</v>
      </c>
      <c r="G7" s="52"/>
      <c r="H7" s="52"/>
      <c r="I7" s="52"/>
      <c r="J7" s="51"/>
      <c r="K7" s="51"/>
      <c r="L7" s="52"/>
      <c r="M7" s="52"/>
    </row>
    <row r="8" spans="1:13" x14ac:dyDescent="0.3">
      <c r="A8" s="14">
        <v>43739</v>
      </c>
      <c r="B8" s="14">
        <v>43770</v>
      </c>
      <c r="C8" s="15">
        <v>62</v>
      </c>
      <c r="D8" s="66">
        <f>C8*4.5</f>
        <v>279</v>
      </c>
      <c r="G8" s="52"/>
      <c r="H8" s="52"/>
      <c r="I8" s="52"/>
      <c r="J8" s="51"/>
      <c r="K8" s="51"/>
      <c r="L8" s="52"/>
      <c r="M8" s="52"/>
    </row>
    <row r="9" spans="1:13" x14ac:dyDescent="0.3">
      <c r="A9" s="14">
        <v>43770</v>
      </c>
      <c r="B9" s="14">
        <v>43800</v>
      </c>
      <c r="C9" s="15">
        <f>11+15+9+14</f>
        <v>49</v>
      </c>
      <c r="D9" s="66">
        <f t="shared" ref="D9:D17" si="0">C9*4.5</f>
        <v>220.5</v>
      </c>
      <c r="G9" s="52"/>
      <c r="H9" s="52"/>
      <c r="I9" s="52"/>
      <c r="J9" s="51"/>
      <c r="K9" s="51"/>
      <c r="L9" s="52"/>
      <c r="M9" s="52"/>
    </row>
    <row r="10" spans="1:13" x14ac:dyDescent="0.3">
      <c r="A10" s="14">
        <v>43800</v>
      </c>
      <c r="B10" s="14">
        <v>43831</v>
      </c>
      <c r="C10" s="15">
        <v>55</v>
      </c>
      <c r="D10" s="66">
        <f t="shared" si="0"/>
        <v>247.5</v>
      </c>
      <c r="G10" s="52"/>
      <c r="H10" s="52"/>
      <c r="I10" s="52"/>
      <c r="J10" s="51"/>
      <c r="K10" s="51"/>
      <c r="L10" s="52"/>
      <c r="M10" s="52"/>
    </row>
    <row r="11" spans="1:13" x14ac:dyDescent="0.3">
      <c r="A11" s="14">
        <v>43831</v>
      </c>
      <c r="B11" s="14">
        <v>43862</v>
      </c>
      <c r="C11" s="15">
        <v>56</v>
      </c>
      <c r="D11" s="66">
        <f t="shared" si="0"/>
        <v>252</v>
      </c>
    </row>
    <row r="12" spans="1:13" x14ac:dyDescent="0.3">
      <c r="A12" s="14">
        <v>43862</v>
      </c>
      <c r="B12" s="14">
        <v>43891</v>
      </c>
      <c r="C12" s="15">
        <v>55</v>
      </c>
      <c r="D12" s="66">
        <f t="shared" si="0"/>
        <v>247.5</v>
      </c>
    </row>
    <row r="13" spans="1:13" x14ac:dyDescent="0.3">
      <c r="A13" s="14">
        <v>43891</v>
      </c>
      <c r="B13" s="14">
        <v>43922</v>
      </c>
      <c r="C13" s="15">
        <f>13+14+6+8</f>
        <v>41</v>
      </c>
      <c r="D13" s="66">
        <f t="shared" si="0"/>
        <v>184.5</v>
      </c>
    </row>
    <row r="14" spans="1:13" x14ac:dyDescent="0.3">
      <c r="A14" s="14">
        <v>43922</v>
      </c>
      <c r="B14" s="14">
        <v>43952</v>
      </c>
      <c r="C14" s="15"/>
      <c r="D14" s="66">
        <f t="shared" si="0"/>
        <v>0</v>
      </c>
    </row>
    <row r="15" spans="1:13" x14ac:dyDescent="0.3">
      <c r="A15" s="14">
        <v>43952</v>
      </c>
      <c r="B15" s="14">
        <v>43983</v>
      </c>
      <c r="C15" s="15"/>
      <c r="D15" s="66">
        <f t="shared" si="0"/>
        <v>0</v>
      </c>
    </row>
    <row r="16" spans="1:13" x14ac:dyDescent="0.3">
      <c r="A16" s="14">
        <v>43983</v>
      </c>
      <c r="B16" s="14">
        <v>44013</v>
      </c>
      <c r="C16" s="15"/>
      <c r="D16" s="66">
        <f t="shared" si="0"/>
        <v>0</v>
      </c>
    </row>
    <row r="17" spans="1:4" x14ac:dyDescent="0.3">
      <c r="A17" s="14">
        <v>44013</v>
      </c>
      <c r="B17" s="14">
        <v>44044</v>
      </c>
      <c r="C17" s="15"/>
      <c r="D17" s="66">
        <f t="shared" si="0"/>
        <v>0</v>
      </c>
    </row>
    <row r="18" spans="1:4" x14ac:dyDescent="0.3">
      <c r="A18" s="271" t="s">
        <v>64</v>
      </c>
      <c r="B18" s="272"/>
      <c r="C18" s="13">
        <f>SUM(C6:C17)</f>
        <v>413</v>
      </c>
      <c r="D18" s="67">
        <f>SUM(D6:D17)</f>
        <v>1858.5</v>
      </c>
    </row>
    <row r="19" spans="1:4" x14ac:dyDescent="0.3">
      <c r="A19" s="271" t="s">
        <v>55</v>
      </c>
      <c r="B19" s="272"/>
      <c r="C19" s="46">
        <f>MEDIAN(C6:C17)</f>
        <v>53.5</v>
      </c>
      <c r="D19" s="46" t="s">
        <v>10</v>
      </c>
    </row>
    <row r="44" spans="1:4" ht="74.25" customHeight="1" x14ac:dyDescent="0.3">
      <c r="A44" s="251" t="s">
        <v>77</v>
      </c>
      <c r="B44" s="251"/>
      <c r="C44" s="251"/>
      <c r="D44" s="251"/>
    </row>
    <row r="45" spans="1:4" x14ac:dyDescent="0.3">
      <c r="A45" s="40" t="s">
        <v>56</v>
      </c>
      <c r="B45" s="41"/>
      <c r="C45" s="41"/>
      <c r="D45" s="42"/>
    </row>
    <row r="46" spans="1:4" x14ac:dyDescent="0.3">
      <c r="A46" s="13" t="s">
        <v>49</v>
      </c>
      <c r="B46" s="13"/>
      <c r="C46" s="13" t="s">
        <v>20</v>
      </c>
      <c r="D46" s="268" t="s">
        <v>81</v>
      </c>
    </row>
    <row r="47" spans="1:4" x14ac:dyDescent="0.3">
      <c r="A47" s="13" t="s">
        <v>50</v>
      </c>
      <c r="B47" s="13" t="s">
        <v>51</v>
      </c>
      <c r="C47" s="13" t="s">
        <v>52</v>
      </c>
      <c r="D47" s="269"/>
    </row>
    <row r="48" spans="1:4" x14ac:dyDescent="0.3">
      <c r="A48" s="14">
        <v>43617</v>
      </c>
      <c r="B48" s="14">
        <v>43647</v>
      </c>
      <c r="C48" s="15">
        <v>56</v>
      </c>
      <c r="D48" s="269"/>
    </row>
    <row r="49" spans="1:7" x14ac:dyDescent="0.3">
      <c r="A49" s="14">
        <v>43647</v>
      </c>
      <c r="B49" s="14">
        <v>43678</v>
      </c>
      <c r="C49" s="15">
        <v>20</v>
      </c>
      <c r="D49" s="269"/>
    </row>
    <row r="50" spans="1:7" x14ac:dyDescent="0.3">
      <c r="A50" s="14">
        <v>43647</v>
      </c>
      <c r="B50" s="14">
        <v>43678</v>
      </c>
      <c r="C50" s="15">
        <f>15+15+13</f>
        <v>43</v>
      </c>
      <c r="D50" s="269"/>
      <c r="G50" s="3">
        <f>C50*4.5</f>
        <v>193.5</v>
      </c>
    </row>
    <row r="51" spans="1:7" x14ac:dyDescent="0.3">
      <c r="A51" s="13" t="s">
        <v>31</v>
      </c>
      <c r="B51" s="13"/>
      <c r="C51" s="13">
        <f>SUM(C48:C50)</f>
        <v>119</v>
      </c>
      <c r="D51" s="269"/>
      <c r="G51" s="3">
        <f>C49*4.5</f>
        <v>90</v>
      </c>
    </row>
    <row r="52" spans="1:7" x14ac:dyDescent="0.3">
      <c r="A52" s="13" t="s">
        <v>55</v>
      </c>
      <c r="B52" s="13"/>
      <c r="C52" s="46">
        <f>MEDIAN(C48:C50)</f>
        <v>43</v>
      </c>
      <c r="D52" s="270"/>
      <c r="G52" s="3">
        <f>SUM(G50:G51)</f>
        <v>283.5</v>
      </c>
    </row>
    <row r="84" spans="1:4" x14ac:dyDescent="0.3">
      <c r="A84" s="262" t="s">
        <v>56</v>
      </c>
      <c r="B84" s="264"/>
      <c r="C84" s="264"/>
      <c r="D84" s="263"/>
    </row>
    <row r="85" spans="1:4" x14ac:dyDescent="0.3">
      <c r="A85" s="13" t="s">
        <v>49</v>
      </c>
      <c r="B85" s="13"/>
      <c r="C85" s="13" t="s">
        <v>20</v>
      </c>
      <c r="D85" s="13"/>
    </row>
    <row r="86" spans="1:4" x14ac:dyDescent="0.3">
      <c r="A86" s="13" t="s">
        <v>50</v>
      </c>
      <c r="B86" s="13" t="s">
        <v>51</v>
      </c>
      <c r="C86" s="13" t="s">
        <v>52</v>
      </c>
      <c r="D86" s="13" t="s">
        <v>53</v>
      </c>
    </row>
    <row r="87" spans="1:4" x14ac:dyDescent="0.3">
      <c r="A87" s="14">
        <v>43252</v>
      </c>
      <c r="B87" s="14">
        <v>43282</v>
      </c>
      <c r="C87" s="15">
        <v>33</v>
      </c>
      <c r="D87" s="4">
        <v>1000</v>
      </c>
    </row>
    <row r="88" spans="1:4" x14ac:dyDescent="0.3">
      <c r="A88" s="14">
        <v>43282</v>
      </c>
      <c r="B88" s="14">
        <v>43313</v>
      </c>
      <c r="C88" s="15">
        <v>68</v>
      </c>
      <c r="D88" s="13" t="s">
        <v>54</v>
      </c>
    </row>
    <row r="89" spans="1:4" x14ac:dyDescent="0.3">
      <c r="A89" s="14">
        <v>43313</v>
      </c>
      <c r="B89" s="14">
        <v>43344</v>
      </c>
      <c r="C89" s="15">
        <f>16+19+10+12</f>
        <v>57</v>
      </c>
      <c r="D89" s="44">
        <f>1-(C100/D87)</f>
        <v>0.30300000000000005</v>
      </c>
    </row>
    <row r="90" spans="1:4" x14ac:dyDescent="0.3">
      <c r="A90" s="14">
        <v>43344</v>
      </c>
      <c r="B90" s="14">
        <v>43374</v>
      </c>
      <c r="C90" s="15">
        <v>54</v>
      </c>
      <c r="D90" s="4">
        <f>D87-C100</f>
        <v>303</v>
      </c>
    </row>
    <row r="91" spans="1:4" x14ac:dyDescent="0.3">
      <c r="A91" s="14">
        <v>43374</v>
      </c>
      <c r="B91" s="14">
        <v>43405</v>
      </c>
      <c r="C91" s="15">
        <v>67</v>
      </c>
      <c r="D91" s="265" t="s">
        <v>10</v>
      </c>
    </row>
    <row r="92" spans="1:4" x14ac:dyDescent="0.3">
      <c r="A92" s="14">
        <v>43405</v>
      </c>
      <c r="B92" s="14">
        <v>43435</v>
      </c>
      <c r="C92" s="15">
        <v>51</v>
      </c>
      <c r="D92" s="266"/>
    </row>
    <row r="93" spans="1:4" x14ac:dyDescent="0.3">
      <c r="A93" s="14">
        <v>43435</v>
      </c>
      <c r="B93" s="14">
        <v>43466</v>
      </c>
      <c r="C93" s="15">
        <v>52</v>
      </c>
      <c r="D93" s="266"/>
    </row>
    <row r="94" spans="1:4" x14ac:dyDescent="0.3">
      <c r="A94" s="14">
        <v>43466</v>
      </c>
      <c r="B94" s="14">
        <v>43497</v>
      </c>
      <c r="C94" s="15">
        <v>60</v>
      </c>
      <c r="D94" s="266"/>
    </row>
    <row r="95" spans="1:4" x14ac:dyDescent="0.3">
      <c r="A95" s="14">
        <v>43497</v>
      </c>
      <c r="B95" s="14">
        <v>43525</v>
      </c>
      <c r="C95" s="15">
        <v>66</v>
      </c>
      <c r="D95" s="266"/>
    </row>
    <row r="96" spans="1:4" x14ac:dyDescent="0.3">
      <c r="A96" s="14">
        <v>43525</v>
      </c>
      <c r="B96" s="14">
        <v>43556</v>
      </c>
      <c r="C96" s="15">
        <v>52</v>
      </c>
      <c r="D96" s="266"/>
    </row>
    <row r="97" spans="1:4" x14ac:dyDescent="0.3">
      <c r="A97" s="14">
        <v>43556</v>
      </c>
      <c r="B97" s="14">
        <v>43586</v>
      </c>
      <c r="C97" s="15">
        <f>19+22+11+11</f>
        <v>63</v>
      </c>
      <c r="D97" s="266"/>
    </row>
    <row r="98" spans="1:4" x14ac:dyDescent="0.3">
      <c r="A98" s="14">
        <v>43586</v>
      </c>
      <c r="B98" s="14">
        <v>43617</v>
      </c>
      <c r="C98" s="15">
        <f>19+12+11+18+14</f>
        <v>74</v>
      </c>
      <c r="D98" s="266"/>
    </row>
    <row r="99" spans="1:4" x14ac:dyDescent="0.3">
      <c r="A99" s="14"/>
      <c r="B99" s="14"/>
      <c r="C99" s="15"/>
      <c r="D99" s="266"/>
    </row>
    <row r="100" spans="1:4" x14ac:dyDescent="0.3">
      <c r="A100" s="13" t="s">
        <v>31</v>
      </c>
      <c r="B100" s="13"/>
      <c r="C100" s="13">
        <f>SUM(C87:C98)</f>
        <v>697</v>
      </c>
      <c r="D100" s="266"/>
    </row>
    <row r="101" spans="1:4" x14ac:dyDescent="0.3">
      <c r="A101" s="13" t="s">
        <v>55</v>
      </c>
      <c r="B101" s="13"/>
      <c r="C101" s="46">
        <f>MEDIAN(C87:C98)</f>
        <v>58.5</v>
      </c>
      <c r="D101" s="267"/>
    </row>
  </sheetData>
  <mergeCells count="8">
    <mergeCell ref="A4:B4"/>
    <mergeCell ref="C4:D4"/>
    <mergeCell ref="A84:D84"/>
    <mergeCell ref="D91:D101"/>
    <mergeCell ref="A44:D44"/>
    <mergeCell ref="D46:D52"/>
    <mergeCell ref="A18:B18"/>
    <mergeCell ref="A19:B19"/>
  </mergeCells>
  <conditionalFormatting sqref="H2">
    <cfRule type="cellIs" dxfId="2" priority="1" stopIfTrue="1" operator="lessThan">
      <formula>TODAY()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orientation="portrait" horizontalDpi="4294967294" verticalDpi="4294967294" r:id="rId1"/>
  <headerFooter>
    <oddHeader>&amp;C&amp;"-,Negrito"&amp;12CONTROLE DE ÁGUA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2"/>
  <sheetViews>
    <sheetView workbookViewId="0">
      <selection activeCell="E17" sqref="E17"/>
    </sheetView>
  </sheetViews>
  <sheetFormatPr defaultColWidth="9.109375" defaultRowHeight="14.4" x14ac:dyDescent="0.3"/>
  <cols>
    <col min="1" max="1" width="30.5546875" style="3" customWidth="1"/>
    <col min="2" max="3" width="12.44140625" style="6" customWidth="1"/>
    <col min="4" max="4" width="15.109375" style="3" bestFit="1" customWidth="1"/>
    <col min="5" max="5" width="14.6640625" style="3" bestFit="1" customWidth="1"/>
    <col min="6" max="6" width="6.6640625" style="3" bestFit="1" customWidth="1"/>
    <col min="7" max="16384" width="9.109375" style="3"/>
  </cols>
  <sheetData>
    <row r="1" spans="3:6" x14ac:dyDescent="0.3">
      <c r="C1" s="13" t="s">
        <v>57</v>
      </c>
      <c r="D1" s="13" t="s">
        <v>58</v>
      </c>
      <c r="E1" s="13" t="s">
        <v>59</v>
      </c>
      <c r="F1" s="13" t="s">
        <v>14</v>
      </c>
    </row>
    <row r="2" spans="3:6" x14ac:dyDescent="0.3">
      <c r="C2" s="11" t="s">
        <v>60</v>
      </c>
      <c r="D2" s="4">
        <v>200</v>
      </c>
      <c r="E2" s="4">
        <f>2+63</f>
        <v>65</v>
      </c>
      <c r="F2" s="4">
        <f>D2-E2</f>
        <v>135</v>
      </c>
    </row>
  </sheetData>
  <printOptions horizontalCentered="1"/>
  <pageMargins left="0.39370078740157483" right="0.39370078740157483" top="0.98425196850393704" bottom="0.78740157480314965" header="0.31496062992125984" footer="0.31496062992125984"/>
  <pageSetup paperSize="9" orientation="landscape" r:id="rId1"/>
  <headerFooter>
    <oddHeader>&amp;C&amp;"-,Negrito"&amp;12ACOMPANHAMENTO DE CONTRATOFESASEG / B3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27"/>
  <sheetViews>
    <sheetView view="pageLayout" zoomScale="85" zoomScaleSheetLayoutView="100" zoomScalePageLayoutView="85" workbookViewId="0">
      <selection activeCell="D11" sqref="D11"/>
    </sheetView>
  </sheetViews>
  <sheetFormatPr defaultColWidth="9.109375" defaultRowHeight="14.4" x14ac:dyDescent="0.3"/>
  <cols>
    <col min="1" max="1" width="7.44140625" style="3" bestFit="1" customWidth="1"/>
    <col min="2" max="2" width="42.44140625" style="6" bestFit="1" customWidth="1"/>
    <col min="3" max="16384" width="9.109375" style="3"/>
  </cols>
  <sheetData>
    <row r="1" spans="1:2" s="34" customFormat="1" x14ac:dyDescent="0.3">
      <c r="A1" s="20" t="s">
        <v>49</v>
      </c>
      <c r="B1" s="20" t="s">
        <v>74</v>
      </c>
    </row>
    <row r="2" spans="1:2" x14ac:dyDescent="0.3">
      <c r="A2" s="23">
        <v>43709</v>
      </c>
      <c r="B2" s="34"/>
    </row>
    <row r="3" spans="1:2" x14ac:dyDescent="0.3">
      <c r="A3" s="23">
        <v>43739</v>
      </c>
      <c r="B3" s="34"/>
    </row>
    <row r="4" spans="1:2" x14ac:dyDescent="0.3">
      <c r="A4" s="23">
        <v>43770</v>
      </c>
      <c r="B4" s="34"/>
    </row>
    <row r="5" spans="1:2" x14ac:dyDescent="0.3">
      <c r="A5" s="23">
        <v>43800</v>
      </c>
      <c r="B5" s="34"/>
    </row>
    <row r="6" spans="1:2" x14ac:dyDescent="0.3">
      <c r="A6" s="23">
        <v>43831</v>
      </c>
      <c r="B6" s="34"/>
    </row>
    <row r="7" spans="1:2" x14ac:dyDescent="0.3">
      <c r="A7" s="23">
        <v>43862</v>
      </c>
      <c r="B7" s="34"/>
    </row>
    <row r="8" spans="1:2" x14ac:dyDescent="0.3">
      <c r="A8" s="23">
        <v>43891</v>
      </c>
      <c r="B8" s="34"/>
    </row>
    <row r="9" spans="1:2" x14ac:dyDescent="0.3">
      <c r="A9" s="23">
        <v>43922</v>
      </c>
      <c r="B9" s="34"/>
    </row>
    <row r="10" spans="1:2" x14ac:dyDescent="0.3">
      <c r="A10" s="23">
        <v>43952</v>
      </c>
      <c r="B10" s="34"/>
    </row>
    <row r="11" spans="1:2" x14ac:dyDescent="0.3">
      <c r="A11" s="23">
        <v>43983</v>
      </c>
      <c r="B11" s="34"/>
    </row>
    <row r="12" spans="1:2" x14ac:dyDescent="0.3">
      <c r="A12" s="23">
        <v>44013</v>
      </c>
      <c r="B12" s="34"/>
    </row>
    <row r="13" spans="1:2" x14ac:dyDescent="0.3">
      <c r="A13" s="23">
        <v>44044</v>
      </c>
      <c r="B13" s="34"/>
    </row>
    <row r="14" spans="1:2" x14ac:dyDescent="0.3">
      <c r="A14" s="20"/>
      <c r="B14" s="34"/>
    </row>
    <row r="15" spans="1:2" s="34" customFormat="1" x14ac:dyDescent="0.3">
      <c r="A15" s="20" t="s">
        <v>49</v>
      </c>
      <c r="B15" s="20" t="s">
        <v>74</v>
      </c>
    </row>
    <row r="16" spans="1:2" x14ac:dyDescent="0.3">
      <c r="A16" s="23">
        <v>43709</v>
      </c>
      <c r="B16" s="34"/>
    </row>
    <row r="17" spans="1:2" x14ac:dyDescent="0.3">
      <c r="A17" s="23">
        <v>43739</v>
      </c>
      <c r="B17" s="34"/>
    </row>
    <row r="18" spans="1:2" x14ac:dyDescent="0.3">
      <c r="A18" s="23">
        <v>43770</v>
      </c>
      <c r="B18" s="34"/>
    </row>
    <row r="19" spans="1:2" x14ac:dyDescent="0.3">
      <c r="A19" s="23">
        <v>43800</v>
      </c>
      <c r="B19" s="34"/>
    </row>
    <row r="20" spans="1:2" x14ac:dyDescent="0.3">
      <c r="A20" s="23">
        <v>43831</v>
      </c>
      <c r="B20" s="34"/>
    </row>
    <row r="21" spans="1:2" x14ac:dyDescent="0.3">
      <c r="A21" s="23">
        <v>43862</v>
      </c>
      <c r="B21" s="34"/>
    </row>
    <row r="22" spans="1:2" x14ac:dyDescent="0.3">
      <c r="A22" s="23">
        <v>43891</v>
      </c>
      <c r="B22" s="34"/>
    </row>
    <row r="23" spans="1:2" x14ac:dyDescent="0.3">
      <c r="A23" s="23">
        <v>43922</v>
      </c>
      <c r="B23" s="34"/>
    </row>
    <row r="24" spans="1:2" x14ac:dyDescent="0.3">
      <c r="A24" s="23">
        <v>43952</v>
      </c>
      <c r="B24" s="34"/>
    </row>
    <row r="25" spans="1:2" x14ac:dyDescent="0.3">
      <c r="A25" s="23">
        <v>43983</v>
      </c>
      <c r="B25" s="34"/>
    </row>
    <row r="26" spans="1:2" x14ac:dyDescent="0.3">
      <c r="A26" s="23">
        <v>44013</v>
      </c>
      <c r="B26" s="34"/>
    </row>
    <row r="27" spans="1:2" x14ac:dyDescent="0.3">
      <c r="A27" s="23">
        <v>44044</v>
      </c>
      <c r="B27" s="34"/>
    </row>
  </sheetData>
  <pageMargins left="0.39370078740157483" right="0.39370078740157483" top="0.98425196850393704" bottom="0.78740157480314965" header="0.31496062992125984" footer="0.31496062992125984"/>
  <pageSetup paperSize="9" scale="80" orientation="portrait" r:id="rId1"/>
  <headerFooter>
    <oddHeader>&amp;C&amp;"-,Negrito"&amp;12ACOMPANHAMENTO DE CONTRATOSNAE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3"/>
  <sheetViews>
    <sheetView view="pageLayout" zoomScale="85" zoomScalePageLayoutView="85" workbookViewId="0">
      <selection activeCell="E11" sqref="E11"/>
    </sheetView>
  </sheetViews>
  <sheetFormatPr defaultColWidth="9.109375" defaultRowHeight="14.4" x14ac:dyDescent="0.3"/>
  <cols>
    <col min="1" max="1" width="7.44140625" style="3" bestFit="1" customWidth="1"/>
    <col min="2" max="2" width="50.109375" style="3" customWidth="1"/>
    <col min="3" max="16384" width="9.109375" style="3"/>
  </cols>
  <sheetData>
    <row r="1" spans="1:2" x14ac:dyDescent="0.3">
      <c r="A1" s="20" t="s">
        <v>49</v>
      </c>
      <c r="B1" s="20" t="s">
        <v>75</v>
      </c>
    </row>
    <row r="2" spans="1:2" x14ac:dyDescent="0.3">
      <c r="A2" s="23">
        <v>43546</v>
      </c>
      <c r="B2" s="34"/>
    </row>
    <row r="3" spans="1:2" x14ac:dyDescent="0.3">
      <c r="A3" s="23">
        <v>43577</v>
      </c>
      <c r="B3" s="34"/>
    </row>
    <row r="4" spans="1:2" x14ac:dyDescent="0.3">
      <c r="A4" s="23">
        <v>43607</v>
      </c>
      <c r="B4" s="34"/>
    </row>
    <row r="5" spans="1:2" x14ac:dyDescent="0.3">
      <c r="A5" s="23">
        <v>43638</v>
      </c>
      <c r="B5" s="34"/>
    </row>
    <row r="6" spans="1:2" x14ac:dyDescent="0.3">
      <c r="A6" s="23">
        <v>43668</v>
      </c>
      <c r="B6" s="34"/>
    </row>
    <row r="7" spans="1:2" x14ac:dyDescent="0.3">
      <c r="A7" s="23">
        <v>43699</v>
      </c>
      <c r="B7" s="34"/>
    </row>
    <row r="8" spans="1:2" x14ac:dyDescent="0.3">
      <c r="A8" s="23">
        <v>43730</v>
      </c>
      <c r="B8" s="34"/>
    </row>
    <row r="9" spans="1:2" x14ac:dyDescent="0.3">
      <c r="A9" s="23">
        <v>43760</v>
      </c>
      <c r="B9" s="34"/>
    </row>
    <row r="10" spans="1:2" x14ac:dyDescent="0.3">
      <c r="A10" s="23">
        <v>43791</v>
      </c>
      <c r="B10" s="34"/>
    </row>
    <row r="11" spans="1:2" x14ac:dyDescent="0.3">
      <c r="A11" s="23">
        <v>43821</v>
      </c>
      <c r="B11" s="34"/>
    </row>
    <row r="12" spans="1:2" x14ac:dyDescent="0.3">
      <c r="A12" s="23">
        <v>43852</v>
      </c>
      <c r="B12" s="34"/>
    </row>
    <row r="13" spans="1:2" x14ac:dyDescent="0.3">
      <c r="A13" s="23">
        <v>43883</v>
      </c>
      <c r="B13" s="34"/>
    </row>
  </sheetData>
  <pageMargins left="0.39370078740157483" right="0.39370078740157483" top="0.98425196850393704" bottom="0.78740157480314965" header="0.31496062992125984" footer="0.31496062992125984"/>
  <pageSetup paperSize="9" orientation="portrait" r:id="rId1"/>
  <headerFooter>
    <oddHeader>&amp;C&amp;"-,Negrito"&amp;12ACOMPANHAMENTO DE CONTRATOSCEPE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workbookViewId="0">
      <selection activeCell="G17" sqref="G17"/>
    </sheetView>
  </sheetViews>
  <sheetFormatPr defaultColWidth="9.109375" defaultRowHeight="14.4" x14ac:dyDescent="0.3"/>
  <cols>
    <col min="1" max="16384" width="9.109375" style="3"/>
  </cols>
  <sheetData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headerFooter>
    <oddHeader>&amp;C&amp;"-,Negrito"ACOMPANHAMENTO DE CONTRATOSSERVAL - MOTORISTA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7" sqref="E17"/>
    </sheetView>
  </sheetViews>
  <sheetFormatPr defaultColWidth="9.109375" defaultRowHeight="14.4" x14ac:dyDescent="0.3"/>
  <cols>
    <col min="1" max="16384" width="9.109375" style="3"/>
  </cols>
  <sheetData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headerFooter>
    <oddHeader>&amp;CACOMPANHAMENTO DE CONTRATOSCIEE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6"/>
  <sheetViews>
    <sheetView view="pageLayout" topLeftCell="A16" workbookViewId="0">
      <selection activeCell="D26" sqref="D26:D28"/>
    </sheetView>
  </sheetViews>
  <sheetFormatPr defaultColWidth="9.109375" defaultRowHeight="14.4" x14ac:dyDescent="0.3"/>
  <cols>
    <col min="1" max="1" width="10.33203125" style="3" customWidth="1"/>
    <col min="2" max="2" width="43.88671875" style="3" customWidth="1"/>
    <col min="3" max="3" width="7.33203125" style="3" customWidth="1"/>
    <col min="4" max="4" width="12.5546875" style="3" customWidth="1"/>
    <col min="5" max="5" width="13.44140625" style="3" customWidth="1"/>
    <col min="6" max="6" width="7.109375" style="3" customWidth="1"/>
    <col min="7" max="16384" width="9.109375" style="3"/>
  </cols>
  <sheetData>
    <row r="1" spans="1:11" s="52" customFormat="1" ht="32.25" customHeight="1" x14ac:dyDescent="0.3">
      <c r="A1" s="108" t="s">
        <v>76</v>
      </c>
      <c r="B1" s="72" t="s">
        <v>101</v>
      </c>
      <c r="C1" s="49" t="s">
        <v>61</v>
      </c>
      <c r="D1" s="48">
        <v>2803405.44</v>
      </c>
      <c r="E1" s="49" t="s">
        <v>62</v>
      </c>
      <c r="F1" s="50">
        <v>43467</v>
      </c>
      <c r="J1" s="51"/>
      <c r="K1" s="51"/>
    </row>
    <row r="2" spans="1:11" s="52" customFormat="1" ht="32.25" customHeight="1" x14ac:dyDescent="0.3">
      <c r="A2" s="108" t="s">
        <v>63</v>
      </c>
      <c r="B2" s="53">
        <f>D2/D1</f>
        <v>0.65915911542213457</v>
      </c>
      <c r="C2" s="49" t="s">
        <v>64</v>
      </c>
      <c r="D2" s="48">
        <f>SUM(D17:D28)</f>
        <v>1847890.25</v>
      </c>
      <c r="E2" s="49" t="s">
        <v>65</v>
      </c>
      <c r="F2" s="55">
        <f>F1+364</f>
        <v>43831</v>
      </c>
      <c r="J2" s="51"/>
      <c r="K2" s="51"/>
    </row>
    <row r="3" spans="1:11" x14ac:dyDescent="0.3">
      <c r="A3" s="273" t="s">
        <v>32</v>
      </c>
      <c r="B3" s="273"/>
      <c r="C3" s="35" t="s">
        <v>33</v>
      </c>
      <c r="D3" s="35" t="s">
        <v>34</v>
      </c>
      <c r="E3" s="35" t="s">
        <v>35</v>
      </c>
    </row>
    <row r="4" spans="1:11" ht="69.75" customHeight="1" x14ac:dyDescent="0.3">
      <c r="A4" s="15">
        <v>1</v>
      </c>
      <c r="B4" s="36" t="s">
        <v>36</v>
      </c>
      <c r="C4" s="37">
        <f>E4/D4</f>
        <v>0</v>
      </c>
      <c r="D4" s="105">
        <v>6600.0000000000009</v>
      </c>
      <c r="E4" s="76"/>
    </row>
    <row r="5" spans="1:11" ht="46.5" customHeight="1" x14ac:dyDescent="0.3">
      <c r="A5" s="15">
        <v>2</v>
      </c>
      <c r="B5" s="38" t="s">
        <v>37</v>
      </c>
      <c r="C5" s="37">
        <f t="shared" ref="C5:C11" si="0">E5/D5</f>
        <v>0</v>
      </c>
      <c r="D5" s="105">
        <v>938572.80000000005</v>
      </c>
      <c r="E5" s="76"/>
    </row>
    <row r="6" spans="1:11" ht="35.25" customHeight="1" x14ac:dyDescent="0.3">
      <c r="A6" s="15">
        <v>3</v>
      </c>
      <c r="B6" s="36" t="s">
        <v>38</v>
      </c>
      <c r="C6" s="37">
        <f t="shared" si="0"/>
        <v>0</v>
      </c>
      <c r="D6" s="105">
        <v>46464.000000000007</v>
      </c>
      <c r="E6" s="76"/>
    </row>
    <row r="7" spans="1:11" ht="57" customHeight="1" x14ac:dyDescent="0.3">
      <c r="A7" s="15">
        <v>4</v>
      </c>
      <c r="B7" s="36" t="s">
        <v>39</v>
      </c>
      <c r="C7" s="37">
        <f t="shared" si="0"/>
        <v>0</v>
      </c>
      <c r="D7" s="105">
        <v>255552.00000000003</v>
      </c>
      <c r="E7" s="76"/>
    </row>
    <row r="8" spans="1:11" ht="51" x14ac:dyDescent="0.3">
      <c r="A8" s="15">
        <v>5</v>
      </c>
      <c r="B8" s="36" t="s">
        <v>40</v>
      </c>
      <c r="C8" s="37">
        <f t="shared" si="0"/>
        <v>0</v>
      </c>
      <c r="D8" s="105">
        <v>272184</v>
      </c>
      <c r="E8" s="76"/>
    </row>
    <row r="9" spans="1:11" ht="51" x14ac:dyDescent="0.3">
      <c r="A9" s="15">
        <v>6</v>
      </c>
      <c r="B9" s="36" t="s">
        <v>41</v>
      </c>
      <c r="C9" s="37">
        <f t="shared" si="0"/>
        <v>0</v>
      </c>
      <c r="D9" s="105">
        <v>174240</v>
      </c>
      <c r="E9" s="76"/>
    </row>
    <row r="10" spans="1:11" ht="20.399999999999999" x14ac:dyDescent="0.3">
      <c r="A10" s="15">
        <v>7</v>
      </c>
      <c r="B10" s="36" t="s">
        <v>42</v>
      </c>
      <c r="C10" s="37">
        <f t="shared" si="0"/>
        <v>0</v>
      </c>
      <c r="D10" s="105">
        <v>343833.60000000009</v>
      </c>
      <c r="E10" s="76"/>
    </row>
    <row r="11" spans="1:11" ht="30.6" x14ac:dyDescent="0.3">
      <c r="A11" s="15">
        <v>8</v>
      </c>
      <c r="B11" s="36" t="s">
        <v>43</v>
      </c>
      <c r="C11" s="37">
        <f t="shared" si="0"/>
        <v>0</v>
      </c>
      <c r="D11" s="105">
        <v>511104.00000000006</v>
      </c>
      <c r="E11" s="76"/>
    </row>
    <row r="12" spans="1:11" x14ac:dyDescent="0.3">
      <c r="A12" s="274" t="s">
        <v>44</v>
      </c>
      <c r="B12" s="274"/>
      <c r="C12" s="274"/>
      <c r="D12" s="106">
        <f>SUM(D4:D11)</f>
        <v>2548550.4000000004</v>
      </c>
      <c r="E12" s="77">
        <v>233237.20920000001</v>
      </c>
    </row>
    <row r="13" spans="1:11" x14ac:dyDescent="0.3">
      <c r="A13" s="274" t="s">
        <v>45</v>
      </c>
      <c r="B13" s="274"/>
      <c r="C13" s="274"/>
      <c r="D13" s="106">
        <f>D12*10%</f>
        <v>254855.04000000004</v>
      </c>
      <c r="E13" s="77">
        <v>360933.61</v>
      </c>
    </row>
    <row r="14" spans="1:11" x14ac:dyDescent="0.3">
      <c r="A14" s="274" t="s">
        <v>46</v>
      </c>
      <c r="B14" s="274"/>
      <c r="C14" s="274"/>
      <c r="D14" s="106">
        <f>D12+D13</f>
        <v>2803405.4400000004</v>
      </c>
      <c r="E14" s="77">
        <f>E12+E13</f>
        <v>594170.81920000003</v>
      </c>
    </row>
    <row r="15" spans="1:11" x14ac:dyDescent="0.3">
      <c r="A15" s="275" t="s">
        <v>47</v>
      </c>
      <c r="B15" s="276"/>
      <c r="C15" s="276"/>
      <c r="D15" s="277"/>
      <c r="E15" s="78">
        <f>D14-E14</f>
        <v>2209234.6208000006</v>
      </c>
    </row>
    <row r="17" spans="1:11" x14ac:dyDescent="0.3">
      <c r="C17" s="32">
        <v>43466</v>
      </c>
      <c r="D17" s="107">
        <v>138270.81</v>
      </c>
    </row>
    <row r="18" spans="1:11" x14ac:dyDescent="0.3">
      <c r="C18" s="32">
        <v>43497</v>
      </c>
      <c r="D18" s="107">
        <v>124389.93</v>
      </c>
    </row>
    <row r="19" spans="1:11" x14ac:dyDescent="0.3">
      <c r="C19" s="32">
        <v>43525</v>
      </c>
      <c r="D19" s="107">
        <v>149069.56</v>
      </c>
    </row>
    <row r="20" spans="1:11" x14ac:dyDescent="0.3">
      <c r="C20" s="32">
        <v>43556</v>
      </c>
      <c r="D20" s="107">
        <v>145068.4</v>
      </c>
    </row>
    <row r="21" spans="1:11" x14ac:dyDescent="0.3">
      <c r="C21" s="32">
        <v>43586</v>
      </c>
      <c r="D21" s="107">
        <v>149441.26999999999</v>
      </c>
    </row>
    <row r="22" spans="1:11" x14ac:dyDescent="0.3">
      <c r="C22" s="32">
        <v>43617</v>
      </c>
      <c r="D22" s="107">
        <v>151371.44</v>
      </c>
    </row>
    <row r="23" spans="1:11" x14ac:dyDescent="0.3">
      <c r="C23" s="32">
        <v>43647</v>
      </c>
      <c r="D23" s="107">
        <v>155456.10999999999</v>
      </c>
    </row>
    <row r="24" spans="1:11" x14ac:dyDescent="0.3">
      <c r="C24" s="32">
        <v>43678</v>
      </c>
      <c r="D24" s="107">
        <v>152918.47</v>
      </c>
    </row>
    <row r="25" spans="1:11" x14ac:dyDescent="0.3">
      <c r="C25" s="32">
        <v>43709</v>
      </c>
      <c r="D25" s="107">
        <v>164908.73000000001</v>
      </c>
    </row>
    <row r="26" spans="1:11" x14ac:dyDescent="0.3">
      <c r="C26" s="32">
        <v>43739</v>
      </c>
      <c r="D26" s="107">
        <v>180361.32</v>
      </c>
    </row>
    <row r="27" spans="1:11" x14ac:dyDescent="0.3">
      <c r="C27" s="32">
        <v>43770</v>
      </c>
      <c r="D27" s="107">
        <v>188247.05</v>
      </c>
    </row>
    <row r="28" spans="1:11" x14ac:dyDescent="0.3">
      <c r="C28" s="32">
        <v>43800</v>
      </c>
      <c r="D28" s="107">
        <v>148387.16</v>
      </c>
    </row>
    <row r="29" spans="1:11" s="52" customFormat="1" ht="33" customHeight="1" x14ac:dyDescent="0.3">
      <c r="A29" s="47" t="s">
        <v>76</v>
      </c>
      <c r="B29" s="72"/>
      <c r="C29" s="104" t="s">
        <v>61</v>
      </c>
      <c r="D29" s="48"/>
      <c r="E29" s="104" t="s">
        <v>62</v>
      </c>
      <c r="F29" s="50"/>
      <c r="J29" s="51"/>
      <c r="K29" s="51"/>
    </row>
    <row r="30" spans="1:11" s="52" customFormat="1" ht="26.25" customHeight="1" x14ac:dyDescent="0.3">
      <c r="A30" s="47" t="s">
        <v>63</v>
      </c>
      <c r="B30" s="53" t="e">
        <f>D30/D29</f>
        <v>#DIV/0!</v>
      </c>
      <c r="C30" s="104" t="s">
        <v>64</v>
      </c>
      <c r="D30" s="74"/>
      <c r="E30" s="104" t="s">
        <v>65</v>
      </c>
      <c r="F30" s="55">
        <f>F29+364</f>
        <v>364</v>
      </c>
      <c r="J30" s="51"/>
      <c r="K30" s="51"/>
    </row>
    <row r="31" spans="1:11" x14ac:dyDescent="0.3">
      <c r="A31" s="273" t="s">
        <v>32</v>
      </c>
      <c r="B31" s="273"/>
      <c r="C31" s="35" t="s">
        <v>33</v>
      </c>
      <c r="D31" s="35" t="s">
        <v>34</v>
      </c>
      <c r="E31" s="35" t="s">
        <v>35</v>
      </c>
    </row>
    <row r="32" spans="1:11" ht="69.75" customHeight="1" x14ac:dyDescent="0.3">
      <c r="A32" s="15">
        <v>1</v>
      </c>
      <c r="B32" s="36" t="s">
        <v>36</v>
      </c>
      <c r="C32" s="37">
        <f>E32/D32</f>
        <v>0.99999999999999989</v>
      </c>
      <c r="D32" s="75">
        <v>6600.0000000000009</v>
      </c>
      <c r="E32" s="76">
        <v>6600</v>
      </c>
    </row>
    <row r="33" spans="1:5" ht="46.5" customHeight="1" x14ac:dyDescent="0.3">
      <c r="A33" s="15">
        <v>2</v>
      </c>
      <c r="B33" s="38" t="s">
        <v>37</v>
      </c>
      <c r="C33" s="37">
        <f t="shared" ref="C33:C39" si="1">E33/D33</f>
        <v>0.48795493094195774</v>
      </c>
      <c r="D33" s="75">
        <v>938572.80000000005</v>
      </c>
      <c r="E33" s="76">
        <v>457981.22580799996</v>
      </c>
    </row>
    <row r="34" spans="1:5" ht="35.25" customHeight="1" x14ac:dyDescent="0.3">
      <c r="A34" s="15">
        <v>3</v>
      </c>
      <c r="B34" s="36" t="s">
        <v>38</v>
      </c>
      <c r="C34" s="37">
        <f t="shared" si="1"/>
        <v>1.1604145144628097</v>
      </c>
      <c r="D34" s="75">
        <v>46464.000000000007</v>
      </c>
      <c r="E34" s="76">
        <v>53917.5</v>
      </c>
    </row>
    <row r="35" spans="1:5" ht="57" customHeight="1" x14ac:dyDescent="0.3">
      <c r="A35" s="15">
        <v>4</v>
      </c>
      <c r="B35" s="36" t="s">
        <v>39</v>
      </c>
      <c r="C35" s="37">
        <f t="shared" si="1"/>
        <v>0.67929290606060599</v>
      </c>
      <c r="D35" s="75">
        <v>255552.00000000003</v>
      </c>
      <c r="E35" s="76">
        <v>173594.6607296</v>
      </c>
    </row>
    <row r="36" spans="1:5" ht="51" x14ac:dyDescent="0.3">
      <c r="A36" s="15">
        <v>5</v>
      </c>
      <c r="B36" s="36" t="s">
        <v>40</v>
      </c>
      <c r="C36" s="37">
        <f t="shared" si="1"/>
        <v>0.76191146430355927</v>
      </c>
      <c r="D36" s="75">
        <v>272184</v>
      </c>
      <c r="E36" s="76">
        <v>207380.11</v>
      </c>
    </row>
    <row r="37" spans="1:5" ht="51" x14ac:dyDescent="0.3">
      <c r="A37" s="15">
        <v>6</v>
      </c>
      <c r="B37" s="36" t="s">
        <v>41</v>
      </c>
      <c r="C37" s="37">
        <f t="shared" si="1"/>
        <v>0.42882460973370068</v>
      </c>
      <c r="D37" s="75">
        <v>174240</v>
      </c>
      <c r="E37" s="76">
        <v>74718.400000000009</v>
      </c>
    </row>
    <row r="38" spans="1:5" ht="20.399999999999999" x14ac:dyDescent="0.3">
      <c r="A38" s="15">
        <v>7</v>
      </c>
      <c r="B38" s="36" t="s">
        <v>42</v>
      </c>
      <c r="C38" s="37">
        <f t="shared" si="1"/>
        <v>0.6783432718617376</v>
      </c>
      <c r="D38" s="75">
        <v>343833.60000000009</v>
      </c>
      <c r="E38" s="76">
        <v>233237.20920000001</v>
      </c>
    </row>
    <row r="39" spans="1:5" ht="30.6" x14ac:dyDescent="0.3">
      <c r="A39" s="15">
        <v>8</v>
      </c>
      <c r="B39" s="36" t="s">
        <v>43</v>
      </c>
      <c r="C39" s="37">
        <f t="shared" si="1"/>
        <v>0.70618427952041063</v>
      </c>
      <c r="D39" s="75">
        <v>511104.00000000006</v>
      </c>
      <c r="E39" s="76">
        <v>360933.61</v>
      </c>
    </row>
    <row r="40" spans="1:5" x14ac:dyDescent="0.3">
      <c r="A40" s="274" t="s">
        <v>44</v>
      </c>
      <c r="B40" s="274"/>
      <c r="C40" s="274"/>
      <c r="D40" s="77">
        <f>SUM(D32:D39)</f>
        <v>2548550.4000000004</v>
      </c>
      <c r="E40" s="77">
        <v>233237.20920000001</v>
      </c>
    </row>
    <row r="41" spans="1:5" x14ac:dyDescent="0.3">
      <c r="A41" s="274" t="s">
        <v>45</v>
      </c>
      <c r="B41" s="274"/>
      <c r="C41" s="274"/>
      <c r="D41" s="77">
        <f>D40*10%</f>
        <v>254855.04000000004</v>
      </c>
      <c r="E41" s="77">
        <v>360933.61</v>
      </c>
    </row>
    <row r="42" spans="1:5" x14ac:dyDescent="0.3">
      <c r="A42" s="274" t="s">
        <v>46</v>
      </c>
      <c r="B42" s="274"/>
      <c r="C42" s="274"/>
      <c r="D42" s="77">
        <f>D40+D41</f>
        <v>2803405.4400000004</v>
      </c>
      <c r="E42" s="77">
        <f>E40+E41</f>
        <v>594170.81920000003</v>
      </c>
    </row>
    <row r="43" spans="1:5" x14ac:dyDescent="0.3">
      <c r="A43" s="275" t="s">
        <v>47</v>
      </c>
      <c r="B43" s="276"/>
      <c r="C43" s="276"/>
      <c r="D43" s="277"/>
      <c r="E43" s="78">
        <f>D42-E42</f>
        <v>2209234.6208000006</v>
      </c>
    </row>
    <row r="45" spans="1:5" x14ac:dyDescent="0.3">
      <c r="C45" s="32">
        <v>43101</v>
      </c>
      <c r="D45" s="39"/>
    </row>
    <row r="46" spans="1:5" x14ac:dyDescent="0.3">
      <c r="C46" s="32">
        <v>43132</v>
      </c>
      <c r="D46" s="39"/>
    </row>
    <row r="47" spans="1:5" x14ac:dyDescent="0.3">
      <c r="C47" s="32">
        <v>43160</v>
      </c>
      <c r="D47" s="39"/>
    </row>
    <row r="48" spans="1:5" x14ac:dyDescent="0.3">
      <c r="C48" s="32">
        <v>43191</v>
      </c>
      <c r="D48" s="39"/>
    </row>
    <row r="49" spans="3:4" x14ac:dyDescent="0.3">
      <c r="C49" s="32">
        <v>43221</v>
      </c>
      <c r="D49" s="39">
        <v>149441.26999999999</v>
      </c>
    </row>
    <row r="50" spans="3:4" x14ac:dyDescent="0.3">
      <c r="C50" s="32">
        <v>43252</v>
      </c>
      <c r="D50" s="39"/>
    </row>
    <row r="51" spans="3:4" x14ac:dyDescent="0.3">
      <c r="C51" s="32">
        <v>43282</v>
      </c>
      <c r="D51" s="39"/>
    </row>
    <row r="52" spans="3:4" x14ac:dyDescent="0.3">
      <c r="C52" s="32">
        <v>43313</v>
      </c>
      <c r="D52" s="39"/>
    </row>
    <row r="53" spans="3:4" x14ac:dyDescent="0.3">
      <c r="C53" s="32">
        <v>43344</v>
      </c>
      <c r="D53" s="39"/>
    </row>
    <row r="54" spans="3:4" x14ac:dyDescent="0.3">
      <c r="C54" s="32">
        <v>43374</v>
      </c>
      <c r="D54" s="39"/>
    </row>
    <row r="55" spans="3:4" x14ac:dyDescent="0.3">
      <c r="C55" s="32">
        <v>43405</v>
      </c>
      <c r="D55" s="39"/>
    </row>
    <row r="56" spans="3:4" x14ac:dyDescent="0.3">
      <c r="C56" s="32">
        <v>43435</v>
      </c>
      <c r="D56" s="39"/>
    </row>
  </sheetData>
  <mergeCells count="10">
    <mergeCell ref="A3:B3"/>
    <mergeCell ref="A12:C12"/>
    <mergeCell ref="A13:C13"/>
    <mergeCell ref="A14:C14"/>
    <mergeCell ref="A15:D15"/>
    <mergeCell ref="A31:B31"/>
    <mergeCell ref="A40:C40"/>
    <mergeCell ref="A41:C41"/>
    <mergeCell ref="A42:C42"/>
    <mergeCell ref="A43:D43"/>
  </mergeCells>
  <conditionalFormatting sqref="F30">
    <cfRule type="cellIs" dxfId="1" priority="6" stopIfTrue="1" operator="lessThan">
      <formula>TODAY()</formula>
    </cfRule>
  </conditionalFormatting>
  <conditionalFormatting sqref="F2">
    <cfRule type="cellIs" dxfId="0" priority="1" stopIfTrue="1" operator="lessThan">
      <formula>TODAY()</formula>
    </cfRule>
  </conditionalFormatting>
  <pageMargins left="0.19685039370078741" right="0.19685039370078741" top="0.98425196850393704" bottom="0.78740157480314965" header="0.31496062992125984" footer="0.31496062992125984"/>
  <pageSetup paperSize="9" orientation="portrait" r:id="rId1"/>
  <headerFooter>
    <oddHeader>&amp;C&amp;"-,Negrito"&amp;12ACOMPANHAMENTO DE CONTRATOSIAUPE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6"/>
  <sheetViews>
    <sheetView workbookViewId="0">
      <selection activeCell="G20" sqref="G20"/>
    </sheetView>
  </sheetViews>
  <sheetFormatPr defaultColWidth="9.109375" defaultRowHeight="14.4" x14ac:dyDescent="0.3"/>
  <cols>
    <col min="1" max="1" width="21.44140625" style="3" bestFit="1" customWidth="1"/>
    <col min="2" max="2" width="8.44140625" style="3" bestFit="1" customWidth="1"/>
    <col min="3" max="4" width="14.33203125" style="6" bestFit="1" customWidth="1"/>
    <col min="5" max="5" width="22" style="3" customWidth="1"/>
    <col min="6" max="6" width="12.44140625" style="3" customWidth="1"/>
    <col min="7" max="16384" width="9.109375" style="3"/>
  </cols>
  <sheetData>
    <row r="1" spans="1:6" s="52" customFormat="1" ht="33" customHeight="1" x14ac:dyDescent="0.3">
      <c r="A1" s="47" t="s">
        <v>76</v>
      </c>
      <c r="B1" s="56"/>
      <c r="C1" s="110" t="s">
        <v>61</v>
      </c>
      <c r="D1" s="48">
        <v>6000</v>
      </c>
      <c r="E1" s="110" t="s">
        <v>62</v>
      </c>
      <c r="F1" s="57">
        <v>44127</v>
      </c>
    </row>
    <row r="2" spans="1:6" s="52" customFormat="1" ht="10.199999999999999" x14ac:dyDescent="0.3">
      <c r="A2" s="47" t="s">
        <v>63</v>
      </c>
      <c r="B2" s="53">
        <f>D2/D1</f>
        <v>0</v>
      </c>
      <c r="C2" s="110" t="s">
        <v>64</v>
      </c>
      <c r="D2" s="54">
        <f>SUM(C5:C16)</f>
        <v>0</v>
      </c>
      <c r="E2" s="110" t="s">
        <v>65</v>
      </c>
      <c r="F2" s="58">
        <f>F1+364</f>
        <v>44491</v>
      </c>
    </row>
    <row r="3" spans="1:6" s="52" customFormat="1" ht="10.199999999999999" x14ac:dyDescent="0.3"/>
    <row r="4" spans="1:6" x14ac:dyDescent="0.3">
      <c r="B4" s="111" t="s">
        <v>102</v>
      </c>
      <c r="C4" s="111" t="s">
        <v>103</v>
      </c>
      <c r="D4" s="111" t="s">
        <v>104</v>
      </c>
      <c r="E4" s="111" t="s">
        <v>105</v>
      </c>
    </row>
    <row r="5" spans="1:6" x14ac:dyDescent="0.3">
      <c r="B5" s="114" t="s">
        <v>106</v>
      </c>
      <c r="C5" s="114" t="s">
        <v>108</v>
      </c>
      <c r="D5" s="188" t="s">
        <v>160</v>
      </c>
      <c r="E5" s="189" t="s">
        <v>163</v>
      </c>
    </row>
    <row r="6" spans="1:6" x14ac:dyDescent="0.3">
      <c r="B6" s="114" t="s">
        <v>106</v>
      </c>
      <c r="C6" s="114" t="s">
        <v>109</v>
      </c>
      <c r="D6" s="113"/>
      <c r="E6" s="112"/>
    </row>
    <row r="7" spans="1:6" x14ac:dyDescent="0.3">
      <c r="B7" s="114" t="s">
        <v>106</v>
      </c>
      <c r="C7" s="114" t="s">
        <v>110</v>
      </c>
      <c r="D7" s="113"/>
      <c r="E7" s="112"/>
    </row>
    <row r="8" spans="1:6" x14ac:dyDescent="0.3">
      <c r="B8" s="114" t="s">
        <v>106</v>
      </c>
      <c r="C8" s="114" t="s">
        <v>111</v>
      </c>
      <c r="D8" s="113"/>
      <c r="E8" s="112"/>
    </row>
    <row r="9" spans="1:6" x14ac:dyDescent="0.3">
      <c r="B9" s="114" t="s">
        <v>107</v>
      </c>
      <c r="C9" s="114" t="s">
        <v>112</v>
      </c>
      <c r="D9" s="113" t="s">
        <v>161</v>
      </c>
      <c r="E9" s="112" t="s">
        <v>163</v>
      </c>
    </row>
    <row r="10" spans="1:6" x14ac:dyDescent="0.3">
      <c r="B10" s="114" t="s">
        <v>107</v>
      </c>
      <c r="C10" s="114" t="s">
        <v>113</v>
      </c>
      <c r="D10" s="113" t="s">
        <v>162</v>
      </c>
      <c r="E10" s="112" t="s">
        <v>163</v>
      </c>
    </row>
    <row r="11" spans="1:6" x14ac:dyDescent="0.3">
      <c r="B11" s="190" t="s">
        <v>107</v>
      </c>
      <c r="C11" s="190" t="s">
        <v>114</v>
      </c>
      <c r="D11" s="191" t="s">
        <v>165</v>
      </c>
      <c r="E11" s="192">
        <v>44238</v>
      </c>
    </row>
    <row r="12" spans="1:6" x14ac:dyDescent="0.3">
      <c r="B12" s="114" t="s">
        <v>107</v>
      </c>
      <c r="C12" s="114" t="s">
        <v>115</v>
      </c>
      <c r="D12" s="113" t="s">
        <v>166</v>
      </c>
      <c r="E12" s="112" t="s">
        <v>167</v>
      </c>
    </row>
    <row r="13" spans="1:6" x14ac:dyDescent="0.3">
      <c r="B13" s="190" t="s">
        <v>107</v>
      </c>
      <c r="C13" s="190" t="s">
        <v>116</v>
      </c>
      <c r="D13" s="191" t="s">
        <v>118</v>
      </c>
      <c r="E13" s="192">
        <v>43769</v>
      </c>
    </row>
    <row r="14" spans="1:6" x14ac:dyDescent="0.3">
      <c r="B14" s="114" t="s">
        <v>107</v>
      </c>
      <c r="C14" s="114" t="s">
        <v>117</v>
      </c>
      <c r="D14" s="113"/>
      <c r="E14" s="112"/>
    </row>
    <row r="15" spans="1:6" x14ac:dyDescent="0.3">
      <c r="A15" s="32"/>
      <c r="B15" s="23"/>
      <c r="C15" s="97"/>
    </row>
    <row r="16" spans="1:6" x14ac:dyDescent="0.3">
      <c r="A16" s="32"/>
      <c r="B16" s="32"/>
      <c r="C16" s="39"/>
    </row>
  </sheetData>
  <conditionalFormatting sqref="F2">
    <cfRule type="cellIs" dxfId="20" priority="1" stopIfTrue="1" operator="lessThan">
      <formula>TODAY()</formula>
    </cfRule>
  </conditionalFormatting>
  <pageMargins left="0.39370078740157483" right="0.39370078740157483" top="0.98425196850393704" bottom="0.78740157480314965" header="0.31496062992125984" footer="0.31496062992125984"/>
  <pageSetup paperSize="9" orientation="portrait" horizontalDpi="4294967294" verticalDpi="4294967294" r:id="rId1"/>
  <headerFooter>
    <oddHeader>&amp;C&amp;"-,Negrito"&amp;12ACOMPANHAMENTO DE CONTRATOSSOLUTI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05"/>
  <sheetViews>
    <sheetView view="pageLayout" topLeftCell="A4" zoomScaleSheetLayoutView="85" workbookViewId="0">
      <selection activeCell="G20" sqref="G20"/>
    </sheetView>
  </sheetViews>
  <sheetFormatPr defaultColWidth="9.109375" defaultRowHeight="14.4" x14ac:dyDescent="0.3"/>
  <cols>
    <col min="1" max="1" width="50" style="3" customWidth="1"/>
    <col min="2" max="2" width="11" style="6" customWidth="1"/>
    <col min="3" max="3" width="12" style="6" customWidth="1"/>
    <col min="4" max="5" width="14" style="6" customWidth="1"/>
    <col min="6" max="6" width="11" style="6" customWidth="1"/>
    <col min="7" max="7" width="12.109375" style="3" bestFit="1" customWidth="1"/>
    <col min="8" max="16384" width="9.109375" style="3"/>
  </cols>
  <sheetData>
    <row r="1" spans="1:10" s="52" customFormat="1" ht="33" customHeight="1" x14ac:dyDescent="0.3">
      <c r="A1" s="117" t="s">
        <v>76</v>
      </c>
      <c r="B1" s="128" t="s">
        <v>7</v>
      </c>
      <c r="C1" s="49" t="s">
        <v>61</v>
      </c>
      <c r="D1" s="127">
        <v>10684.8</v>
      </c>
      <c r="E1" s="127"/>
      <c r="F1" s="159">
        <v>43983</v>
      </c>
      <c r="I1" s="51"/>
      <c r="J1" s="51"/>
    </row>
    <row r="2" spans="1:10" s="52" customFormat="1" ht="26.25" customHeight="1" x14ac:dyDescent="0.3">
      <c r="A2" s="117" t="s">
        <v>63</v>
      </c>
      <c r="B2" s="53">
        <f>D61/D1</f>
        <v>0.97983864929619657</v>
      </c>
      <c r="C2" s="120" t="s">
        <v>54</v>
      </c>
      <c r="D2" s="54">
        <f>D1-D61</f>
        <v>215.41999999999825</v>
      </c>
      <c r="E2" s="54"/>
      <c r="F2" s="164">
        <v>44347</v>
      </c>
      <c r="I2" s="51"/>
      <c r="J2" s="51"/>
    </row>
    <row r="3" spans="1:10" s="52" customFormat="1" ht="26.25" customHeight="1" x14ac:dyDescent="0.3">
      <c r="I3" s="51"/>
      <c r="J3" s="51"/>
    </row>
    <row r="4" spans="1:10" ht="37.5" customHeight="1" x14ac:dyDescent="0.3">
      <c r="A4" s="9" t="s">
        <v>11</v>
      </c>
      <c r="B4" s="10" t="s">
        <v>12</v>
      </c>
      <c r="C4" s="10" t="s">
        <v>13</v>
      </c>
      <c r="D4" s="10" t="s">
        <v>14</v>
      </c>
      <c r="E4" s="71"/>
      <c r="F4" s="71"/>
    </row>
    <row r="5" spans="1:10" ht="58.5" customHeight="1" x14ac:dyDescent="0.3">
      <c r="A5" s="11" t="s">
        <v>21</v>
      </c>
      <c r="B5" s="4">
        <v>4000</v>
      </c>
      <c r="C5" s="4">
        <f>SUM(C49:C59)</f>
        <v>3874</v>
      </c>
      <c r="D5" s="4">
        <f>B5-C5</f>
        <v>126</v>
      </c>
      <c r="E5" s="155"/>
      <c r="F5" s="155"/>
    </row>
    <row r="6" spans="1:10" ht="58.5" customHeight="1" x14ac:dyDescent="0.3">
      <c r="B6" s="3"/>
      <c r="C6" s="3"/>
      <c r="D6" s="3"/>
      <c r="E6" s="3"/>
      <c r="F6" s="3"/>
    </row>
    <row r="7" spans="1:10" ht="18.75" customHeight="1" x14ac:dyDescent="0.3">
      <c r="A7" s="174" t="s">
        <v>22</v>
      </c>
      <c r="B7" s="240" t="s">
        <v>20</v>
      </c>
      <c r="C7" s="240" t="s">
        <v>66</v>
      </c>
      <c r="D7" s="236" t="s">
        <v>152</v>
      </c>
      <c r="E7" s="238" t="s">
        <v>159</v>
      </c>
    </row>
    <row r="8" spans="1:10" s="6" customFormat="1" ht="18.75" customHeight="1" x14ac:dyDescent="0.3">
      <c r="A8" s="173" t="s">
        <v>119</v>
      </c>
      <c r="B8" s="241"/>
      <c r="C8" s="241"/>
      <c r="D8" s="237"/>
      <c r="E8" s="239"/>
    </row>
    <row r="9" spans="1:10" x14ac:dyDescent="0.3">
      <c r="A9" s="103">
        <v>44013</v>
      </c>
      <c r="B9" s="15">
        <v>154</v>
      </c>
      <c r="C9" s="66">
        <f>B9*3.12+(156*1.01)+0.21</f>
        <v>638.25</v>
      </c>
      <c r="D9" s="66">
        <f>C9+110</f>
        <v>748.25</v>
      </c>
      <c r="E9" s="156">
        <f>(C9+'CDL anal'!G35)+110</f>
        <v>4929.84</v>
      </c>
    </row>
    <row r="10" spans="1:10" x14ac:dyDescent="0.3">
      <c r="A10" s="103">
        <v>44044</v>
      </c>
      <c r="B10" s="15">
        <v>26</v>
      </c>
      <c r="C10" s="66">
        <f>B10*3.12+(B10*1.01)</f>
        <v>107.38000000000001</v>
      </c>
      <c r="D10" s="66">
        <f>C10+110</f>
        <v>217.38</v>
      </c>
      <c r="E10" s="156">
        <f>C10+'CDL anal'!G36</f>
        <v>5568.9900000000007</v>
      </c>
    </row>
    <row r="11" spans="1:10" x14ac:dyDescent="0.3">
      <c r="A11" s="103">
        <v>44075</v>
      </c>
      <c r="B11" s="15">
        <v>0</v>
      </c>
      <c r="C11" s="66">
        <f>B11*3.12+(B11*1.01)</f>
        <v>0</v>
      </c>
      <c r="D11" s="66">
        <v>0</v>
      </c>
      <c r="E11" s="156">
        <f>C11+'CDL anal'!G37</f>
        <v>15712.740000000002</v>
      </c>
    </row>
    <row r="12" spans="1:10" x14ac:dyDescent="0.3">
      <c r="A12" s="103">
        <v>44105</v>
      </c>
      <c r="B12" s="15">
        <v>221</v>
      </c>
      <c r="C12" s="66">
        <f>B12*3.12+(B12*1.01)</f>
        <v>912.73</v>
      </c>
      <c r="D12" s="66">
        <f>C12+110</f>
        <v>1022.73</v>
      </c>
      <c r="E12" s="156">
        <f>C12+'CDL anal'!G38</f>
        <v>912.73</v>
      </c>
    </row>
    <row r="13" spans="1:10" x14ac:dyDescent="0.3">
      <c r="A13" s="103">
        <v>44136</v>
      </c>
      <c r="B13" s="15">
        <v>167</v>
      </c>
      <c r="C13" s="66">
        <f>B13*3.12+(B13*1.01)</f>
        <v>689.70999999999992</v>
      </c>
      <c r="D13" s="66">
        <f>C13+110-5%</f>
        <v>799.66</v>
      </c>
      <c r="E13" s="156">
        <f>(D13+'CDL anal'!C12)-(5%*(D13+'CDL anal'!C12))</f>
        <v>5546.1284999999998</v>
      </c>
      <c r="F13" s="187"/>
    </row>
    <row r="14" spans="1:10" x14ac:dyDescent="0.3">
      <c r="A14" s="103">
        <v>44166</v>
      </c>
      <c r="B14" s="15">
        <v>156</v>
      </c>
      <c r="C14" s="66">
        <f t="shared" ref="C14:C20" si="0">B14*3.12+(B14*1.01)</f>
        <v>644.28</v>
      </c>
      <c r="D14" s="66">
        <f t="shared" ref="D14:D20" si="1">C14+110</f>
        <v>754.28</v>
      </c>
      <c r="E14" s="156">
        <f>(D14+'CDL anal'!C13)-(5%*(D14+'CDL anal'!C13))</f>
        <v>6348.8879999999999</v>
      </c>
    </row>
    <row r="15" spans="1:10" x14ac:dyDescent="0.3">
      <c r="A15" s="103">
        <v>44197</v>
      </c>
      <c r="B15" s="15"/>
      <c r="C15" s="66">
        <f t="shared" si="0"/>
        <v>0</v>
      </c>
      <c r="D15" s="66">
        <f t="shared" si="1"/>
        <v>110</v>
      </c>
      <c r="E15" s="156">
        <f>(D15+'CDL anal'!C14)-(5%*(D15+'CDL anal'!C14))</f>
        <v>104.5</v>
      </c>
    </row>
    <row r="16" spans="1:10" x14ac:dyDescent="0.3">
      <c r="A16" s="103">
        <v>44228</v>
      </c>
      <c r="B16" s="15"/>
      <c r="C16" s="66">
        <f t="shared" si="0"/>
        <v>0</v>
      </c>
      <c r="D16" s="66">
        <f t="shared" si="1"/>
        <v>110</v>
      </c>
      <c r="E16" s="156">
        <f>(D16+'CDL anal'!C15)-(5%*(D16+'CDL anal'!C15))</f>
        <v>104.5</v>
      </c>
      <c r="G16" s="70"/>
    </row>
    <row r="17" spans="1:7" x14ac:dyDescent="0.3">
      <c r="A17" s="103">
        <v>44256</v>
      </c>
      <c r="B17" s="15"/>
      <c r="C17" s="66">
        <f t="shared" si="0"/>
        <v>0</v>
      </c>
      <c r="D17" s="66">
        <f t="shared" si="1"/>
        <v>110</v>
      </c>
      <c r="E17" s="156">
        <f>(D17+'CDL anal'!C16)-(5%*(D17+'CDL anal'!C16))</f>
        <v>104.5</v>
      </c>
      <c r="G17" s="158"/>
    </row>
    <row r="18" spans="1:7" x14ac:dyDescent="0.3">
      <c r="A18" s="103">
        <v>44287</v>
      </c>
      <c r="B18" s="15"/>
      <c r="C18" s="66">
        <f t="shared" si="0"/>
        <v>0</v>
      </c>
      <c r="D18" s="66">
        <f t="shared" si="1"/>
        <v>110</v>
      </c>
      <c r="E18" s="156">
        <f>(D18+'CDL anal'!C17)-(5%*(D18+'CDL anal'!C17))</f>
        <v>104.5</v>
      </c>
    </row>
    <row r="19" spans="1:7" x14ac:dyDescent="0.3">
      <c r="A19" s="103">
        <v>44317</v>
      </c>
      <c r="B19" s="15"/>
      <c r="C19" s="66">
        <f t="shared" si="0"/>
        <v>0</v>
      </c>
      <c r="D19" s="66">
        <f t="shared" si="1"/>
        <v>110</v>
      </c>
      <c r="E19" s="156">
        <f>(D19+'CDL anal'!C18)-(5%*(D19+'CDL anal'!C18))</f>
        <v>104.5</v>
      </c>
    </row>
    <row r="20" spans="1:7" x14ac:dyDescent="0.3">
      <c r="A20" s="103">
        <v>44348</v>
      </c>
      <c r="B20" s="15"/>
      <c r="C20" s="66">
        <f t="shared" si="0"/>
        <v>0</v>
      </c>
      <c r="D20" s="66">
        <f t="shared" si="1"/>
        <v>110</v>
      </c>
      <c r="E20" s="156">
        <f>(D20+'CDL anal'!C19)-(5%*(D20+'CDL anal'!C19))</f>
        <v>104.5</v>
      </c>
    </row>
    <row r="21" spans="1:7" x14ac:dyDescent="0.3">
      <c r="A21" s="172" t="s">
        <v>64</v>
      </c>
      <c r="B21" s="172"/>
      <c r="C21" s="136">
        <f>SUM(C9:C20)</f>
        <v>2992.3500000000004</v>
      </c>
      <c r="D21" s="136"/>
      <c r="E21" s="157">
        <f>SUM(E9:E20)</f>
        <v>39646.316500000001</v>
      </c>
    </row>
    <row r="22" spans="1:7" x14ac:dyDescent="0.3">
      <c r="A22" s="177"/>
      <c r="B22" s="177"/>
      <c r="C22" s="178"/>
      <c r="D22" s="178"/>
      <c r="E22" s="179"/>
    </row>
    <row r="23" spans="1:7" x14ac:dyDescent="0.3">
      <c r="A23" s="177"/>
      <c r="B23" s="177"/>
      <c r="C23" s="178"/>
      <c r="D23" s="178"/>
      <c r="E23" s="179"/>
    </row>
    <row r="24" spans="1:7" x14ac:dyDescent="0.3">
      <c r="A24" s="177"/>
      <c r="B24" s="177"/>
      <c r="C24" s="178"/>
      <c r="D24" s="178"/>
      <c r="E24" s="179"/>
    </row>
    <row r="25" spans="1:7" x14ac:dyDescent="0.3">
      <c r="A25" s="177"/>
      <c r="B25" s="177"/>
      <c r="C25" s="178"/>
      <c r="D25" s="178"/>
      <c r="E25" s="179"/>
    </row>
    <row r="26" spans="1:7" x14ac:dyDescent="0.3">
      <c r="A26" s="177"/>
      <c r="B26" s="177"/>
      <c r="C26" s="178"/>
      <c r="D26" s="178"/>
      <c r="E26" s="179"/>
    </row>
    <row r="27" spans="1:7" x14ac:dyDescent="0.3">
      <c r="A27" s="177"/>
      <c r="B27" s="177"/>
      <c r="C27" s="178"/>
      <c r="D27" s="178"/>
      <c r="E27" s="179"/>
    </row>
    <row r="28" spans="1:7" x14ac:dyDescent="0.3">
      <c r="B28" s="177"/>
      <c r="C28" s="177"/>
      <c r="D28" s="178"/>
      <c r="E28" s="178"/>
      <c r="F28" s="179"/>
    </row>
    <row r="29" spans="1:7" x14ac:dyDescent="0.3">
      <c r="B29" s="177"/>
      <c r="C29" s="177"/>
      <c r="D29" s="178"/>
      <c r="E29" s="178"/>
      <c r="F29" s="179"/>
    </row>
    <row r="30" spans="1:7" x14ac:dyDescent="0.3">
      <c r="B30" s="177"/>
      <c r="C30" s="177"/>
      <c r="D30" s="178"/>
      <c r="E30" s="178"/>
      <c r="F30" s="179"/>
    </row>
    <row r="31" spans="1:7" x14ac:dyDescent="0.3">
      <c r="B31" s="177"/>
      <c r="C31" s="177"/>
      <c r="D31" s="178"/>
      <c r="E31" s="178"/>
      <c r="F31" s="179"/>
    </row>
    <row r="32" spans="1:7" x14ac:dyDescent="0.3">
      <c r="B32" s="177"/>
      <c r="C32" s="177"/>
      <c r="D32" s="178"/>
      <c r="E32" s="178"/>
      <c r="F32" s="179"/>
    </row>
    <row r="33" spans="1:6" x14ac:dyDescent="0.3">
      <c r="B33" s="177"/>
      <c r="C33" s="177"/>
      <c r="D33" s="178"/>
      <c r="E33" s="178"/>
      <c r="F33" s="179"/>
    </row>
    <row r="34" spans="1:6" x14ac:dyDescent="0.3">
      <c r="B34" s="177"/>
      <c r="C34" s="177"/>
      <c r="D34" s="178"/>
      <c r="E34" s="178"/>
      <c r="F34" s="179"/>
    </row>
    <row r="35" spans="1:6" x14ac:dyDescent="0.3">
      <c r="B35" s="177"/>
      <c r="C35" s="177"/>
      <c r="D35" s="178"/>
      <c r="E35" s="178"/>
      <c r="F35" s="179"/>
    </row>
    <row r="36" spans="1:6" x14ac:dyDescent="0.3">
      <c r="B36" s="177"/>
      <c r="C36" s="177"/>
      <c r="D36" s="178"/>
      <c r="E36" s="178"/>
      <c r="F36" s="179"/>
    </row>
    <row r="37" spans="1:6" x14ac:dyDescent="0.3">
      <c r="B37" s="177"/>
      <c r="C37" s="177"/>
      <c r="D37" s="178"/>
      <c r="E37" s="178"/>
      <c r="F37" s="179"/>
    </row>
    <row r="38" spans="1:6" x14ac:dyDescent="0.3">
      <c r="B38" s="177"/>
      <c r="C38" s="177"/>
      <c r="D38" s="178"/>
      <c r="E38" s="178"/>
      <c r="F38" s="179"/>
    </row>
    <row r="39" spans="1:6" x14ac:dyDescent="0.3">
      <c r="B39" s="177"/>
      <c r="C39" s="177"/>
      <c r="D39" s="178"/>
      <c r="E39" s="178"/>
      <c r="F39" s="179"/>
    </row>
    <row r="40" spans="1:6" x14ac:dyDescent="0.3">
      <c r="B40" s="177"/>
      <c r="C40" s="177"/>
      <c r="D40" s="178"/>
      <c r="E40" s="178"/>
      <c r="F40" s="179"/>
    </row>
    <row r="41" spans="1:6" x14ac:dyDescent="0.3">
      <c r="B41" s="177"/>
      <c r="C41" s="177"/>
      <c r="D41" s="178"/>
      <c r="E41" s="178"/>
      <c r="F41" s="179"/>
    </row>
    <row r="42" spans="1:6" x14ac:dyDescent="0.3">
      <c r="B42" s="177"/>
      <c r="C42" s="177"/>
      <c r="D42" s="178"/>
      <c r="E42" s="178"/>
      <c r="F42" s="179"/>
    </row>
    <row r="43" spans="1:6" x14ac:dyDescent="0.3">
      <c r="B43" s="177"/>
      <c r="C43" s="177"/>
      <c r="D43" s="178"/>
      <c r="E43" s="178"/>
      <c r="F43" s="179"/>
    </row>
    <row r="44" spans="1:6" x14ac:dyDescent="0.3">
      <c r="B44" s="177"/>
      <c r="C44" s="177"/>
      <c r="D44" s="178"/>
      <c r="E44" s="178"/>
      <c r="F44" s="179"/>
    </row>
    <row r="46" spans="1:6" x14ac:dyDescent="0.3">
      <c r="A46" s="5"/>
      <c r="C46" s="12"/>
      <c r="D46" s="5"/>
      <c r="E46" s="5"/>
      <c r="F46" s="5"/>
    </row>
    <row r="47" spans="1:6" x14ac:dyDescent="0.3">
      <c r="A47" s="5"/>
      <c r="B47" s="234" t="s">
        <v>22</v>
      </c>
      <c r="C47" s="234"/>
      <c r="D47" s="234"/>
      <c r="E47" s="175"/>
      <c r="F47" s="236" t="s">
        <v>130</v>
      </c>
    </row>
    <row r="48" spans="1:6" s="6" customFormat="1" x14ac:dyDescent="0.3">
      <c r="A48" s="3"/>
      <c r="B48" s="98" t="s">
        <v>119</v>
      </c>
      <c r="C48" s="100" t="s">
        <v>20</v>
      </c>
      <c r="D48" s="100" t="s">
        <v>66</v>
      </c>
      <c r="E48" s="176"/>
      <c r="F48" s="237"/>
    </row>
    <row r="49" spans="2:7" x14ac:dyDescent="0.3">
      <c r="B49" s="14">
        <v>43647</v>
      </c>
      <c r="C49" s="15"/>
      <c r="D49" s="66">
        <f>304.35</f>
        <v>304.35000000000002</v>
      </c>
      <c r="E49" s="66"/>
      <c r="F49" s="156">
        <f>D49+'CDL anal'!G41</f>
        <v>1540.4499999999998</v>
      </c>
    </row>
    <row r="50" spans="2:7" x14ac:dyDescent="0.3">
      <c r="B50" s="14">
        <v>43678</v>
      </c>
      <c r="C50" s="15">
        <f>43</f>
        <v>43</v>
      </c>
      <c r="D50" s="66">
        <f>(110+296.01+103.02+65.65)</f>
        <v>574.67999999999995</v>
      </c>
      <c r="E50" s="66"/>
      <c r="F50" s="156">
        <f>D50+'CDL anal'!G42</f>
        <v>1801.2399999999998</v>
      </c>
    </row>
    <row r="51" spans="2:7" x14ac:dyDescent="0.3">
      <c r="B51" s="14">
        <v>43709</v>
      </c>
      <c r="C51" s="15"/>
      <c r="D51" s="66">
        <v>604.83000000000004</v>
      </c>
      <c r="E51" s="66"/>
      <c r="F51" s="156">
        <f>D51+'CDL anal'!G43</f>
        <v>1604.83</v>
      </c>
    </row>
    <row r="52" spans="2:7" x14ac:dyDescent="0.3">
      <c r="B52" s="14">
        <v>43739</v>
      </c>
      <c r="C52" s="15">
        <v>40</v>
      </c>
      <c r="D52" s="66">
        <f>(59.8+20.2+110)</f>
        <v>190</v>
      </c>
      <c r="E52" s="66"/>
      <c r="F52" s="156">
        <f>D52+'CDL anal'!G44</f>
        <v>13089.51</v>
      </c>
    </row>
    <row r="53" spans="2:7" x14ac:dyDescent="0.3">
      <c r="B53" s="14">
        <v>43770</v>
      </c>
      <c r="C53" s="15">
        <f>39+39</f>
        <v>78</v>
      </c>
      <c r="D53" s="66">
        <f>(39*2.99)+(39*1.01)+110</f>
        <v>266</v>
      </c>
      <c r="E53" s="66"/>
      <c r="F53" s="156">
        <f>D53+'CDL anal'!G45</f>
        <v>9935.07</v>
      </c>
    </row>
    <row r="54" spans="2:7" x14ac:dyDescent="0.3">
      <c r="B54" s="14">
        <v>43800</v>
      </c>
      <c r="C54" s="15">
        <f>37+37</f>
        <v>74</v>
      </c>
      <c r="D54" s="66">
        <f>(37*2.99)+(37*1.01)+110</f>
        <v>258</v>
      </c>
      <c r="E54" s="66"/>
      <c r="F54" s="156">
        <f>D54+'CDL anal'!G46</f>
        <v>8254.5600000000013</v>
      </c>
    </row>
    <row r="55" spans="2:7" x14ac:dyDescent="0.3">
      <c r="B55" s="14">
        <v>43831</v>
      </c>
      <c r="C55" s="15">
        <f>973+973</f>
        <v>1946</v>
      </c>
      <c r="D55" s="66">
        <f>2909.27+982.73+0.42+110</f>
        <v>4002.42</v>
      </c>
      <c r="E55" s="66"/>
      <c r="F55" s="156">
        <f>(D55+'CDL anal'!G47)</f>
        <v>6962.57</v>
      </c>
    </row>
    <row r="56" spans="2:7" x14ac:dyDescent="0.3">
      <c r="B56" s="14">
        <v>43862</v>
      </c>
      <c r="C56" s="15">
        <f>1236+457</f>
        <v>1693</v>
      </c>
      <c r="D56" s="66">
        <f>3695.64+461.57+110+1.89</f>
        <v>4269.1000000000004</v>
      </c>
      <c r="E56" s="66"/>
      <c r="F56" s="156">
        <f>D56+'CDL anal'!G48</f>
        <v>5830.38</v>
      </c>
      <c r="G56" s="70"/>
    </row>
    <row r="57" spans="2:7" x14ac:dyDescent="0.3">
      <c r="B57" s="14">
        <v>43891</v>
      </c>
      <c r="C57" s="15"/>
      <c r="D57" s="66"/>
      <c r="E57" s="66"/>
      <c r="F57" s="156">
        <f>D57+'CDL anal'!G49</f>
        <v>0</v>
      </c>
      <c r="G57" s="158"/>
    </row>
    <row r="58" spans="2:7" x14ac:dyDescent="0.3">
      <c r="B58" s="14">
        <v>43922</v>
      </c>
      <c r="C58" s="15"/>
      <c r="D58" s="66"/>
      <c r="E58" s="66"/>
      <c r="F58" s="156">
        <f>D58+'CDL anal'!G50</f>
        <v>1401.5</v>
      </c>
    </row>
    <row r="59" spans="2:7" x14ac:dyDescent="0.3">
      <c r="B59" s="14">
        <v>43952</v>
      </c>
      <c r="C59" s="15"/>
      <c r="D59" s="66"/>
      <c r="E59" s="66"/>
      <c r="F59" s="156">
        <f>D59+'CDL anal'!G51</f>
        <v>3023.05</v>
      </c>
    </row>
    <row r="60" spans="2:7" x14ac:dyDescent="0.3">
      <c r="B60" s="14">
        <v>43983</v>
      </c>
      <c r="C60" s="15"/>
      <c r="D60" s="66"/>
      <c r="E60" s="66"/>
      <c r="F60" s="156">
        <f>D60+'CDL anal'!G52</f>
        <v>3046.49</v>
      </c>
    </row>
    <row r="61" spans="2:7" x14ac:dyDescent="0.3">
      <c r="B61" s="235" t="s">
        <v>64</v>
      </c>
      <c r="C61" s="235"/>
      <c r="D61" s="136">
        <f>SUM(D49:D60)</f>
        <v>10469.380000000001</v>
      </c>
      <c r="E61" s="136"/>
      <c r="F61" s="157">
        <f>SUM(F49:F60)</f>
        <v>56489.65</v>
      </c>
    </row>
    <row r="86" spans="1:10" s="52" customFormat="1" ht="33" customHeight="1" x14ac:dyDescent="0.3">
      <c r="A86" s="47" t="s">
        <v>76</v>
      </c>
      <c r="B86" s="72"/>
      <c r="C86" s="101" t="s">
        <v>61</v>
      </c>
      <c r="D86" s="48"/>
      <c r="E86" s="48"/>
      <c r="F86" s="48"/>
      <c r="I86" s="51"/>
      <c r="J86" s="51"/>
    </row>
    <row r="87" spans="1:10" s="52" customFormat="1" ht="26.25" customHeight="1" x14ac:dyDescent="0.3">
      <c r="A87" s="47" t="s">
        <v>63</v>
      </c>
      <c r="B87" s="53" t="e">
        <f>D87/D86</f>
        <v>#DIV/0!</v>
      </c>
      <c r="C87" s="101" t="s">
        <v>64</v>
      </c>
      <c r="D87" s="74"/>
      <c r="E87" s="74"/>
      <c r="F87" s="74"/>
      <c r="I87" s="51"/>
      <c r="J87" s="51"/>
    </row>
    <row r="88" spans="1:10" s="52" customFormat="1" ht="26.25" customHeight="1" x14ac:dyDescent="0.3">
      <c r="I88" s="51"/>
      <c r="J88" s="51"/>
    </row>
    <row r="89" spans="1:10" ht="37.5" customHeight="1" x14ac:dyDescent="0.3">
      <c r="A89" s="98" t="s">
        <v>11</v>
      </c>
      <c r="B89" s="10" t="s">
        <v>12</v>
      </c>
      <c r="C89" s="10" t="s">
        <v>13</v>
      </c>
      <c r="D89" s="10" t="s">
        <v>14</v>
      </c>
      <c r="E89" s="71"/>
      <c r="F89" s="71"/>
    </row>
    <row r="90" spans="1:10" ht="58.5" customHeight="1" x14ac:dyDescent="0.3">
      <c r="A90" s="99" t="s">
        <v>21</v>
      </c>
      <c r="B90" s="4">
        <v>4000</v>
      </c>
      <c r="C90" s="4">
        <f>SUM(C94:C105)</f>
        <v>678</v>
      </c>
      <c r="D90" s="4">
        <f>B90-C90</f>
        <v>3322</v>
      </c>
      <c r="E90" s="155"/>
      <c r="F90" s="155"/>
    </row>
    <row r="91" spans="1:10" x14ac:dyDescent="0.3">
      <c r="A91" s="5"/>
      <c r="C91" s="12"/>
      <c r="D91" s="5"/>
      <c r="E91" s="5"/>
      <c r="F91" s="5"/>
    </row>
    <row r="92" spans="1:10" x14ac:dyDescent="0.3">
      <c r="A92" s="5"/>
      <c r="B92" s="234" t="s">
        <v>22</v>
      </c>
      <c r="C92" s="234"/>
      <c r="D92" s="5"/>
      <c r="E92" s="5"/>
      <c r="F92" s="5"/>
    </row>
    <row r="93" spans="1:10" s="6" customFormat="1" x14ac:dyDescent="0.3">
      <c r="A93" s="3"/>
      <c r="B93" s="98" t="s">
        <v>19</v>
      </c>
      <c r="C93" s="100" t="s">
        <v>20</v>
      </c>
    </row>
    <row r="94" spans="1:10" x14ac:dyDescent="0.3">
      <c r="B94" s="14">
        <v>43252</v>
      </c>
      <c r="C94" s="15">
        <f>168+5</f>
        <v>173</v>
      </c>
    </row>
    <row r="95" spans="1:10" x14ac:dyDescent="0.3">
      <c r="B95" s="14">
        <v>43282</v>
      </c>
      <c r="C95" s="15">
        <v>60</v>
      </c>
    </row>
    <row r="96" spans="1:10" x14ac:dyDescent="0.3">
      <c r="B96" s="14">
        <v>43313</v>
      </c>
      <c r="C96" s="15"/>
    </row>
    <row r="97" spans="2:3" x14ac:dyDescent="0.3">
      <c r="B97" s="14">
        <v>43344</v>
      </c>
      <c r="C97" s="15"/>
    </row>
    <row r="98" spans="2:3" x14ac:dyDescent="0.3">
      <c r="B98" s="14">
        <v>43374</v>
      </c>
      <c r="C98" s="15"/>
    </row>
    <row r="99" spans="2:3" x14ac:dyDescent="0.3">
      <c r="B99" s="14">
        <v>43405</v>
      </c>
      <c r="C99" s="15"/>
    </row>
    <row r="100" spans="2:3" x14ac:dyDescent="0.3">
      <c r="B100" s="14">
        <v>43435</v>
      </c>
      <c r="C100" s="15"/>
    </row>
    <row r="101" spans="2:3" x14ac:dyDescent="0.3">
      <c r="B101" s="14">
        <v>43466</v>
      </c>
      <c r="C101" s="15"/>
    </row>
    <row r="102" spans="2:3" x14ac:dyDescent="0.3">
      <c r="B102" s="14">
        <v>43497</v>
      </c>
      <c r="C102" s="15"/>
    </row>
    <row r="103" spans="2:3" x14ac:dyDescent="0.3">
      <c r="B103" s="14">
        <v>43525</v>
      </c>
      <c r="C103" s="15">
        <f>110+107</f>
        <v>217</v>
      </c>
    </row>
    <row r="104" spans="2:3" x14ac:dyDescent="0.3">
      <c r="B104" s="14">
        <v>43556</v>
      </c>
      <c r="C104" s="15">
        <f>114+114</f>
        <v>228</v>
      </c>
    </row>
    <row r="105" spans="2:3" x14ac:dyDescent="0.3">
      <c r="B105" s="14">
        <v>43586</v>
      </c>
      <c r="C105" s="15"/>
    </row>
  </sheetData>
  <mergeCells count="8">
    <mergeCell ref="B92:C92"/>
    <mergeCell ref="B47:D47"/>
    <mergeCell ref="B61:C61"/>
    <mergeCell ref="F47:F48"/>
    <mergeCell ref="E7:E8"/>
    <mergeCell ref="B7:B8"/>
    <mergeCell ref="C7:C8"/>
    <mergeCell ref="D7:D8"/>
  </mergeCells>
  <conditionalFormatting sqref="F2">
    <cfRule type="cellIs" dxfId="19" priority="3" stopIfTrue="1" operator="between">
      <formula>TODAY()+61</formula>
      <formula>TODAY()+180</formula>
    </cfRule>
    <cfRule type="cellIs" dxfId="18" priority="4" stopIfTrue="1" operator="between">
      <formula>TODAY()+31</formula>
      <formula>TODAY()+60</formula>
    </cfRule>
    <cfRule type="cellIs" dxfId="17" priority="5" stopIfTrue="1" operator="between">
      <formula>TODAY()+30</formula>
      <formula>TODAY()</formula>
    </cfRule>
  </conditionalFormatting>
  <conditionalFormatting sqref="F2">
    <cfRule type="cellIs" dxfId="16" priority="2" stopIfTrue="1" operator="between">
      <formula>TODAY()+181</formula>
      <formula>TODAY()+2000</formula>
    </cfRule>
  </conditionalFormatting>
  <conditionalFormatting sqref="F2">
    <cfRule type="cellIs" dxfId="15" priority="1" stopIfTrue="1" operator="lessThan">
      <formula>TODAY()</formula>
    </cfRule>
  </conditionalFormatting>
  <pageMargins left="0.39370078740157483" right="0.39370078740157483" top="0.98425196850393704" bottom="0.78740157480314965" header="0.31496062992125984" footer="0.31496062992125984"/>
  <pageSetup paperSize="9" scale="92" orientation="portrait" r:id="rId1"/>
  <headerFooter>
    <oddHeader>&amp;C&amp;"-,Negrito"&amp;12ACOMPANHAMENTO DE CONTRATOCDL - NEGATIVAÇÃO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3"/>
  <sheetViews>
    <sheetView view="pageLayout" zoomScale="80" zoomScalePageLayoutView="80" workbookViewId="0">
      <selection activeCell="G20" sqref="G20"/>
    </sheetView>
  </sheetViews>
  <sheetFormatPr defaultColWidth="9.109375" defaultRowHeight="14.4" x14ac:dyDescent="0.3"/>
  <cols>
    <col min="1" max="1" width="57.6640625" style="3" customWidth="1"/>
    <col min="2" max="2" width="9.44140625" style="3" customWidth="1"/>
    <col min="3" max="3" width="14.44140625" style="6" customWidth="1"/>
    <col min="4" max="4" width="13.88671875" style="6" customWidth="1"/>
    <col min="5" max="5" width="13.33203125" style="3" bestFit="1" customWidth="1"/>
    <col min="6" max="6" width="11.44140625" style="3" customWidth="1"/>
    <col min="7" max="7" width="13.44140625" style="3" bestFit="1" customWidth="1"/>
    <col min="8" max="16384" width="9.109375" style="3"/>
  </cols>
  <sheetData>
    <row r="1" spans="1:7" s="52" customFormat="1" ht="33" customHeight="1" x14ac:dyDescent="0.3">
      <c r="A1" s="125" t="s">
        <v>76</v>
      </c>
      <c r="B1" s="159">
        <v>44102</v>
      </c>
      <c r="C1" s="184" t="s">
        <v>61</v>
      </c>
      <c r="D1" s="170">
        <v>250260</v>
      </c>
      <c r="E1" s="184" t="s">
        <v>62</v>
      </c>
      <c r="F1" s="159">
        <v>44102</v>
      </c>
    </row>
    <row r="2" spans="1:7" s="52" customFormat="1" ht="26.25" customHeight="1" x14ac:dyDescent="0.3">
      <c r="A2" s="125" t="s">
        <v>63</v>
      </c>
      <c r="B2" s="53">
        <f>G39/D1</f>
        <v>0</v>
      </c>
      <c r="C2" s="184" t="s">
        <v>54</v>
      </c>
      <c r="D2" s="54">
        <f>D1-G39</f>
        <v>250260</v>
      </c>
      <c r="E2" s="184" t="s">
        <v>65</v>
      </c>
      <c r="F2" s="124">
        <f>F1+120</f>
        <v>44222</v>
      </c>
    </row>
    <row r="3" spans="1:7" s="52" customFormat="1" ht="17.25" customHeight="1" x14ac:dyDescent="0.3"/>
    <row r="4" spans="1:7" ht="29.25" customHeight="1" x14ac:dyDescent="0.3">
      <c r="A4" s="243" t="s">
        <v>11</v>
      </c>
      <c r="B4" s="243"/>
      <c r="C4" s="184" t="s">
        <v>12</v>
      </c>
      <c r="D4" s="184" t="s">
        <v>13</v>
      </c>
      <c r="E4" s="184" t="s">
        <v>14</v>
      </c>
      <c r="F4" s="184" t="s">
        <v>68</v>
      </c>
    </row>
    <row r="5" spans="1:7" ht="70.5" customHeight="1" x14ac:dyDescent="0.3">
      <c r="A5" s="244" t="s">
        <v>15</v>
      </c>
      <c r="B5" s="244"/>
      <c r="C5" s="4">
        <v>84000</v>
      </c>
      <c r="D5" s="4">
        <f>C5-SUM(B11:B14)</f>
        <v>79923</v>
      </c>
      <c r="E5" s="4">
        <f>C5-D5</f>
        <v>4077</v>
      </c>
      <c r="F5" s="185">
        <v>2.69</v>
      </c>
    </row>
    <row r="6" spans="1:7" ht="70.5" customHeight="1" x14ac:dyDescent="0.3">
      <c r="A6" s="244" t="s">
        <v>16</v>
      </c>
      <c r="B6" s="244"/>
      <c r="C6" s="4">
        <v>2400</v>
      </c>
      <c r="D6" s="4">
        <f>C6-SUM(E11:E14)</f>
        <v>2400</v>
      </c>
      <c r="E6" s="4">
        <f>C6-D6</f>
        <v>0</v>
      </c>
      <c r="F6" s="185">
        <v>9.3699999999999992</v>
      </c>
    </row>
    <row r="7" spans="1:7" ht="132" customHeight="1" x14ac:dyDescent="0.3">
      <c r="A7" s="242" t="s">
        <v>156</v>
      </c>
      <c r="B7" s="242"/>
      <c r="C7" s="4">
        <v>120</v>
      </c>
      <c r="D7" s="4">
        <f>C7-SUM(E12:E15)</f>
        <v>120</v>
      </c>
      <c r="E7" s="4">
        <f>C7-D7</f>
        <v>0</v>
      </c>
      <c r="F7" s="185">
        <v>15.1</v>
      </c>
    </row>
    <row r="8" spans="1:7" x14ac:dyDescent="0.3">
      <c r="B8" s="5"/>
      <c r="C8" s="5"/>
      <c r="D8" s="5"/>
      <c r="E8" s="5"/>
    </row>
    <row r="9" spans="1:7" ht="28.5" customHeight="1" x14ac:dyDescent="0.3">
      <c r="A9" s="245" t="s">
        <v>17</v>
      </c>
      <c r="B9" s="246"/>
      <c r="C9" s="247"/>
      <c r="D9" s="245" t="s">
        <v>18</v>
      </c>
      <c r="E9" s="246"/>
      <c r="F9" s="247"/>
    </row>
    <row r="10" spans="1:7" ht="30.75" customHeight="1" x14ac:dyDescent="0.3">
      <c r="A10" s="183" t="s">
        <v>119</v>
      </c>
      <c r="B10" s="102" t="s">
        <v>20</v>
      </c>
      <c r="C10" s="180" t="s">
        <v>66</v>
      </c>
      <c r="D10" s="182" t="s">
        <v>119</v>
      </c>
      <c r="E10" s="102" t="s">
        <v>20</v>
      </c>
      <c r="F10" s="180" t="s">
        <v>66</v>
      </c>
      <c r="G10" s="182" t="s">
        <v>151</v>
      </c>
    </row>
    <row r="11" spans="1:7" x14ac:dyDescent="0.3">
      <c r="A11" s="103">
        <v>44105</v>
      </c>
      <c r="B11" s="15"/>
      <c r="C11" s="66">
        <f>110+(B11*2.87)</f>
        <v>110</v>
      </c>
      <c r="D11" s="103">
        <v>44105</v>
      </c>
      <c r="E11" s="15">
        <v>0</v>
      </c>
      <c r="F11" s="66">
        <f>E11*6.76</f>
        <v>0</v>
      </c>
      <c r="G11" s="66">
        <f>C11+F11</f>
        <v>110</v>
      </c>
    </row>
    <row r="12" spans="1:7" x14ac:dyDescent="0.3">
      <c r="A12" s="103">
        <v>44136</v>
      </c>
      <c r="B12" s="15">
        <v>1873</v>
      </c>
      <c r="C12" s="66">
        <f>B12*2.69</f>
        <v>5038.37</v>
      </c>
      <c r="D12" s="103">
        <v>44136</v>
      </c>
      <c r="E12" s="15">
        <v>0</v>
      </c>
      <c r="F12" s="66">
        <f>E12*6.76</f>
        <v>0</v>
      </c>
      <c r="G12" s="66">
        <f>C12+F12+110-160.24</f>
        <v>4988.13</v>
      </c>
    </row>
    <row r="13" spans="1:7" x14ac:dyDescent="0.3">
      <c r="A13" s="103">
        <v>44166</v>
      </c>
      <c r="B13" s="4">
        <v>2204</v>
      </c>
      <c r="C13" s="66">
        <f t="shared" ref="C13:C21" si="0">B13*2.69</f>
        <v>5928.76</v>
      </c>
      <c r="D13" s="103">
        <v>44166</v>
      </c>
      <c r="E13" s="4">
        <v>0</v>
      </c>
      <c r="F13" s="66"/>
      <c r="G13" s="66">
        <f>C13+F13</f>
        <v>5928.76</v>
      </c>
    </row>
    <row r="14" spans="1:7" x14ac:dyDescent="0.3">
      <c r="A14" s="103">
        <v>44197</v>
      </c>
      <c r="B14" s="15"/>
      <c r="C14" s="66">
        <f t="shared" si="0"/>
        <v>0</v>
      </c>
      <c r="D14" s="103">
        <v>44197</v>
      </c>
      <c r="E14" s="4"/>
      <c r="F14" s="66"/>
      <c r="G14" s="66">
        <f t="shared" ref="G14:G21" si="1">C14+F14</f>
        <v>0</v>
      </c>
    </row>
    <row r="15" spans="1:7" s="130" customFormat="1" x14ac:dyDescent="0.3">
      <c r="A15" s="103">
        <v>44228</v>
      </c>
      <c r="B15" s="129"/>
      <c r="C15" s="66">
        <f t="shared" si="0"/>
        <v>0</v>
      </c>
      <c r="D15" s="103">
        <v>44228</v>
      </c>
      <c r="E15" s="4"/>
      <c r="F15" s="66"/>
      <c r="G15" s="66">
        <f t="shared" si="1"/>
        <v>0</v>
      </c>
    </row>
    <row r="16" spans="1:7" s="130" customFormat="1" x14ac:dyDescent="0.3">
      <c r="A16" s="103">
        <v>44256</v>
      </c>
      <c r="B16" s="129"/>
      <c r="C16" s="66">
        <f t="shared" si="0"/>
        <v>0</v>
      </c>
      <c r="D16" s="103">
        <v>44256</v>
      </c>
      <c r="E16" s="4"/>
      <c r="F16" s="66"/>
      <c r="G16" s="66">
        <f t="shared" si="1"/>
        <v>0</v>
      </c>
    </row>
    <row r="17" spans="1:7" s="130" customFormat="1" x14ac:dyDescent="0.3">
      <c r="A17" s="103">
        <v>44287</v>
      </c>
      <c r="B17" s="129"/>
      <c r="C17" s="66">
        <f t="shared" si="0"/>
        <v>0</v>
      </c>
      <c r="D17" s="103">
        <v>44287</v>
      </c>
      <c r="E17" s="4"/>
      <c r="F17" s="66"/>
      <c r="G17" s="66">
        <f t="shared" si="1"/>
        <v>0</v>
      </c>
    </row>
    <row r="18" spans="1:7" s="130" customFormat="1" x14ac:dyDescent="0.3">
      <c r="A18" s="103">
        <v>44317</v>
      </c>
      <c r="B18" s="129"/>
      <c r="C18" s="66">
        <f t="shared" si="0"/>
        <v>0</v>
      </c>
      <c r="D18" s="103">
        <v>44317</v>
      </c>
      <c r="E18" s="4"/>
      <c r="F18" s="66"/>
      <c r="G18" s="66">
        <f t="shared" si="1"/>
        <v>0</v>
      </c>
    </row>
    <row r="19" spans="1:7" s="130" customFormat="1" x14ac:dyDescent="0.3">
      <c r="A19" s="103">
        <v>44348</v>
      </c>
      <c r="B19" s="129"/>
      <c r="C19" s="66">
        <f t="shared" si="0"/>
        <v>0</v>
      </c>
      <c r="D19" s="103">
        <v>44348</v>
      </c>
      <c r="E19" s="4"/>
      <c r="F19" s="66"/>
      <c r="G19" s="66">
        <f t="shared" si="1"/>
        <v>0</v>
      </c>
    </row>
    <row r="20" spans="1:7" s="130" customFormat="1" x14ac:dyDescent="0.3">
      <c r="A20" s="103">
        <v>44378</v>
      </c>
      <c r="B20" s="129"/>
      <c r="C20" s="66">
        <f t="shared" si="0"/>
        <v>0</v>
      </c>
      <c r="D20" s="103">
        <v>44378</v>
      </c>
      <c r="E20" s="4"/>
      <c r="F20" s="66"/>
      <c r="G20" s="66">
        <f t="shared" si="1"/>
        <v>0</v>
      </c>
    </row>
    <row r="21" spans="1:7" s="130" customFormat="1" x14ac:dyDescent="0.3">
      <c r="A21" s="103">
        <v>44409</v>
      </c>
      <c r="B21" s="129"/>
      <c r="C21" s="66">
        <f t="shared" si="0"/>
        <v>0</v>
      </c>
      <c r="D21" s="103">
        <v>44409</v>
      </c>
      <c r="E21" s="4"/>
      <c r="F21" s="66"/>
      <c r="G21" s="66">
        <f t="shared" si="1"/>
        <v>0</v>
      </c>
    </row>
    <row r="22" spans="1:7" s="130" customFormat="1" x14ac:dyDescent="0.3">
      <c r="A22" s="7"/>
      <c r="B22" s="129"/>
      <c r="C22" s="126"/>
      <c r="D22" s="8"/>
      <c r="E22" s="8"/>
      <c r="F22" s="8"/>
      <c r="G22" s="8"/>
    </row>
    <row r="23" spans="1:7" s="130" customFormat="1" x14ac:dyDescent="0.3">
      <c r="A23" s="7"/>
      <c r="B23" s="129"/>
      <c r="C23" s="126"/>
      <c r="D23" s="8"/>
      <c r="E23" s="181"/>
      <c r="F23" s="181"/>
      <c r="G23" s="178"/>
    </row>
    <row r="24" spans="1:7" s="52" customFormat="1" ht="33" customHeight="1" x14ac:dyDescent="0.3">
      <c r="A24" s="125" t="s">
        <v>76</v>
      </c>
      <c r="B24" s="122" t="s">
        <v>138</v>
      </c>
      <c r="C24" s="115" t="s">
        <v>61</v>
      </c>
      <c r="D24" s="121">
        <v>38552</v>
      </c>
      <c r="E24" s="115" t="s">
        <v>62</v>
      </c>
      <c r="F24" s="123">
        <v>43949</v>
      </c>
    </row>
    <row r="25" spans="1:7" s="52" customFormat="1" ht="26.25" customHeight="1" x14ac:dyDescent="0.3">
      <c r="A25" s="125" t="s">
        <v>63</v>
      </c>
      <c r="B25" s="53">
        <f>G53/D24</f>
        <v>1.1937193919900393</v>
      </c>
      <c r="C25" s="120" t="s">
        <v>54</v>
      </c>
      <c r="D25" s="54">
        <f>D24-G53</f>
        <v>-7468.2699999999968</v>
      </c>
      <c r="E25" s="115" t="s">
        <v>65</v>
      </c>
      <c r="F25" s="124">
        <f>F24+120</f>
        <v>44069</v>
      </c>
    </row>
    <row r="26" spans="1:7" s="52" customFormat="1" ht="17.25" customHeight="1" x14ac:dyDescent="0.3"/>
    <row r="27" spans="1:7" ht="29.25" customHeight="1" x14ac:dyDescent="0.3">
      <c r="A27" s="243" t="s">
        <v>11</v>
      </c>
      <c r="B27" s="243"/>
      <c r="C27" s="2" t="s">
        <v>12</v>
      </c>
      <c r="D27" s="2" t="s">
        <v>13</v>
      </c>
      <c r="E27" s="2" t="s">
        <v>14</v>
      </c>
      <c r="F27" s="168" t="s">
        <v>68</v>
      </c>
    </row>
    <row r="28" spans="1:7" ht="70.5" customHeight="1" x14ac:dyDescent="0.3">
      <c r="A28" s="244" t="s">
        <v>15</v>
      </c>
      <c r="B28" s="244"/>
      <c r="C28" s="4">
        <v>15000</v>
      </c>
      <c r="D28" s="4">
        <f>C28-SUM(B33:B36)</f>
        <v>9546</v>
      </c>
      <c r="E28" s="4">
        <f>C28-D28</f>
        <v>5454</v>
      </c>
      <c r="F28" s="3">
        <v>2.87</v>
      </c>
    </row>
    <row r="29" spans="1:7" ht="74.25" customHeight="1" x14ac:dyDescent="0.3">
      <c r="A29" s="244" t="s">
        <v>16</v>
      </c>
      <c r="B29" s="244"/>
      <c r="C29" s="4">
        <v>400</v>
      </c>
      <c r="D29" s="4">
        <f>C29-SUM(E33:E36)</f>
        <v>400</v>
      </c>
      <c r="E29" s="4">
        <f>C29-D29</f>
        <v>0</v>
      </c>
      <c r="F29" s="3">
        <v>6.76</v>
      </c>
    </row>
    <row r="30" spans="1:7" x14ac:dyDescent="0.3">
      <c r="B30" s="5"/>
      <c r="C30" s="5"/>
      <c r="D30" s="5"/>
      <c r="E30" s="5"/>
    </row>
    <row r="31" spans="1:7" ht="28.5" customHeight="1" x14ac:dyDescent="0.3">
      <c r="A31" s="245" t="s">
        <v>17</v>
      </c>
      <c r="B31" s="246"/>
      <c r="C31" s="247"/>
      <c r="D31" s="245" t="s">
        <v>18</v>
      </c>
      <c r="E31" s="246"/>
      <c r="F31" s="247"/>
    </row>
    <row r="32" spans="1:7" ht="30.75" customHeight="1" x14ac:dyDescent="0.3">
      <c r="A32" s="167" t="s">
        <v>119</v>
      </c>
      <c r="B32" s="102" t="s">
        <v>20</v>
      </c>
      <c r="C32" s="166" t="s">
        <v>66</v>
      </c>
      <c r="D32" s="165" t="s">
        <v>119</v>
      </c>
      <c r="E32" s="102" t="s">
        <v>20</v>
      </c>
      <c r="F32" s="166" t="s">
        <v>66</v>
      </c>
      <c r="G32" s="173" t="s">
        <v>151</v>
      </c>
    </row>
    <row r="33" spans="1:7" x14ac:dyDescent="0.3">
      <c r="A33" s="103">
        <v>43952</v>
      </c>
      <c r="B33" s="15">
        <v>1015</v>
      </c>
      <c r="C33" s="66">
        <f>110+(B33*2.87)</f>
        <v>3023.05</v>
      </c>
      <c r="D33" s="103">
        <v>43952</v>
      </c>
      <c r="E33" s="15">
        <v>0</v>
      </c>
      <c r="F33" s="66">
        <f>E33*6.76</f>
        <v>0</v>
      </c>
      <c r="G33" s="66">
        <f>C33+F33</f>
        <v>3023.05</v>
      </c>
    </row>
    <row r="34" spans="1:7" x14ac:dyDescent="0.3">
      <c r="A34" s="103">
        <v>43983</v>
      </c>
      <c r="B34" s="15">
        <v>1079</v>
      </c>
      <c r="C34" s="66">
        <f>B34*2.87</f>
        <v>3096.73</v>
      </c>
      <c r="D34" s="103">
        <v>43983</v>
      </c>
      <c r="E34" s="15">
        <v>0</v>
      </c>
      <c r="F34" s="66">
        <f>E34*6.76</f>
        <v>0</v>
      </c>
      <c r="G34" s="66">
        <f>C34+F34+110-160.24</f>
        <v>3046.49</v>
      </c>
    </row>
    <row r="35" spans="1:7" x14ac:dyDescent="0.3">
      <c r="A35" s="103">
        <v>44013</v>
      </c>
      <c r="B35" s="4">
        <v>1457</v>
      </c>
      <c r="C35" s="66">
        <f>B35*2.87</f>
        <v>4181.59</v>
      </c>
      <c r="D35" s="103">
        <v>44013</v>
      </c>
      <c r="E35" s="4"/>
      <c r="F35" s="66"/>
      <c r="G35" s="66">
        <f>C35+F35</f>
        <v>4181.59</v>
      </c>
    </row>
    <row r="36" spans="1:7" x14ac:dyDescent="0.3">
      <c r="A36" s="103">
        <v>44044</v>
      </c>
      <c r="B36" s="15">
        <v>1903</v>
      </c>
      <c r="C36" s="66">
        <f>B36*2.87</f>
        <v>5461.6100000000006</v>
      </c>
      <c r="D36" s="103">
        <v>44044</v>
      </c>
      <c r="E36" s="15"/>
      <c r="F36" s="66"/>
      <c r="G36" s="66">
        <f>C36+F36</f>
        <v>5461.6100000000006</v>
      </c>
    </row>
    <row r="37" spans="1:7" s="130" customFormat="1" x14ac:dyDescent="0.3">
      <c r="A37" s="7"/>
      <c r="B37" s="129"/>
      <c r="C37" s="126"/>
      <c r="D37" s="8"/>
      <c r="E37" s="235" t="s">
        <v>64</v>
      </c>
      <c r="F37" s="235"/>
      <c r="G37" s="136">
        <f>SUM(G33:G36)</f>
        <v>15712.740000000002</v>
      </c>
    </row>
    <row r="38" spans="1:7" x14ac:dyDescent="0.3">
      <c r="B38" s="5"/>
      <c r="C38" s="5"/>
      <c r="D38" s="5"/>
      <c r="E38" s="5"/>
    </row>
    <row r="39" spans="1:7" x14ac:dyDescent="0.3">
      <c r="A39" s="245" t="s">
        <v>17</v>
      </c>
      <c r="B39" s="246"/>
      <c r="C39" s="247"/>
      <c r="D39" s="245" t="s">
        <v>18</v>
      </c>
      <c r="E39" s="246"/>
      <c r="F39" s="247"/>
    </row>
    <row r="40" spans="1:7" x14ac:dyDescent="0.3">
      <c r="A40" s="119" t="s">
        <v>119</v>
      </c>
      <c r="B40" s="102" t="s">
        <v>20</v>
      </c>
      <c r="C40" s="100" t="s">
        <v>66</v>
      </c>
      <c r="D40" s="116" t="s">
        <v>119</v>
      </c>
      <c r="E40" s="102" t="s">
        <v>20</v>
      </c>
      <c r="F40" s="100" t="s">
        <v>66</v>
      </c>
      <c r="G40" s="100" t="s">
        <v>100</v>
      </c>
    </row>
    <row r="41" spans="1:7" x14ac:dyDescent="0.3">
      <c r="A41" s="103">
        <v>43647</v>
      </c>
      <c r="B41" s="4" t="s">
        <v>10</v>
      </c>
      <c r="C41" s="66">
        <v>1236.0999999999999</v>
      </c>
      <c r="D41" s="14">
        <v>43647</v>
      </c>
      <c r="E41" s="4" t="s">
        <v>10</v>
      </c>
      <c r="F41" s="66">
        <v>0</v>
      </c>
      <c r="G41" s="66">
        <f>C41+F41</f>
        <v>1236.0999999999999</v>
      </c>
    </row>
    <row r="42" spans="1:7" x14ac:dyDescent="0.3">
      <c r="A42" s="103">
        <v>43678</v>
      </c>
      <c r="B42" s="15" t="s">
        <v>10</v>
      </c>
      <c r="C42" s="66">
        <v>1226.56</v>
      </c>
      <c r="D42" s="14">
        <v>43678</v>
      </c>
      <c r="E42" s="4" t="s">
        <v>10</v>
      </c>
      <c r="F42" s="66">
        <v>0</v>
      </c>
      <c r="G42" s="66">
        <f>C42+F42</f>
        <v>1226.56</v>
      </c>
    </row>
    <row r="43" spans="1:7" x14ac:dyDescent="0.3">
      <c r="A43" s="103">
        <v>43709</v>
      </c>
      <c r="B43" s="15" t="s">
        <v>10</v>
      </c>
      <c r="C43" s="66">
        <v>1000</v>
      </c>
      <c r="D43" s="14">
        <v>43709</v>
      </c>
      <c r="E43" s="4" t="s">
        <v>10</v>
      </c>
      <c r="F43" s="66">
        <v>0</v>
      </c>
      <c r="G43" s="66">
        <f>C43+F43</f>
        <v>1000</v>
      </c>
    </row>
    <row r="44" spans="1:7" x14ac:dyDescent="0.3">
      <c r="A44" s="103">
        <v>43739</v>
      </c>
      <c r="B44" s="15">
        <f>2682+1756</f>
        <v>4438</v>
      </c>
      <c r="C44" s="66">
        <f>B44*2.87</f>
        <v>12737.060000000001</v>
      </c>
      <c r="D44" s="14">
        <v>43739</v>
      </c>
      <c r="E44" s="15">
        <v>24</v>
      </c>
      <c r="F44" s="66">
        <f>(E44*6.76)</f>
        <v>162.24</v>
      </c>
      <c r="G44" s="66">
        <f>C44+F44+0.21</f>
        <v>12899.51</v>
      </c>
    </row>
    <row r="45" spans="1:7" x14ac:dyDescent="0.3">
      <c r="A45" s="103">
        <v>43770</v>
      </c>
      <c r="B45" s="15">
        <f>3359+6</f>
        <v>3365</v>
      </c>
      <c r="C45" s="66">
        <f>(6*3.32)+(3359*2.87)+(0.21*42)</f>
        <v>9669.07</v>
      </c>
      <c r="D45" s="14">
        <v>43770</v>
      </c>
      <c r="E45" s="15">
        <v>0</v>
      </c>
      <c r="F45" s="66"/>
      <c r="G45" s="66">
        <f>C45+F45</f>
        <v>9669.07</v>
      </c>
    </row>
    <row r="46" spans="1:7" x14ac:dyDescent="0.3">
      <c r="A46" s="103">
        <v>43800</v>
      </c>
      <c r="B46" s="15">
        <v>2779</v>
      </c>
      <c r="C46" s="66">
        <f>B46*2.87</f>
        <v>7975.7300000000005</v>
      </c>
      <c r="D46" s="14">
        <v>43800</v>
      </c>
      <c r="E46" s="15">
        <v>1</v>
      </c>
      <c r="F46" s="66">
        <f t="shared" ref="F46:F51" si="2">E46*6.76</f>
        <v>6.76</v>
      </c>
      <c r="G46" s="66">
        <f>C46+F46+14.07</f>
        <v>7996.56</v>
      </c>
    </row>
    <row r="47" spans="1:7" x14ac:dyDescent="0.3">
      <c r="A47" s="103">
        <v>43831</v>
      </c>
      <c r="B47" s="15">
        <v>1021</v>
      </c>
      <c r="C47" s="66">
        <f>B47*2.87</f>
        <v>2930.27</v>
      </c>
      <c r="D47" s="14">
        <v>43831</v>
      </c>
      <c r="E47" s="15">
        <v>9</v>
      </c>
      <c r="F47" s="66">
        <f>E47*3.32</f>
        <v>29.88</v>
      </c>
      <c r="G47" s="66">
        <f>C47+F47</f>
        <v>2960.15</v>
      </c>
    </row>
    <row r="48" spans="1:7" x14ac:dyDescent="0.3">
      <c r="A48" s="103">
        <v>43862</v>
      </c>
      <c r="B48" s="15">
        <v>544</v>
      </c>
      <c r="C48" s="66">
        <f>B48*2.87</f>
        <v>1561.28</v>
      </c>
      <c r="D48" s="14">
        <v>43862</v>
      </c>
      <c r="E48" s="15">
        <v>0</v>
      </c>
      <c r="F48" s="66">
        <f t="shared" si="2"/>
        <v>0</v>
      </c>
      <c r="G48" s="66">
        <f>C48+F48</f>
        <v>1561.28</v>
      </c>
    </row>
    <row r="49" spans="1:7" x14ac:dyDescent="0.3">
      <c r="A49" s="103">
        <v>43891</v>
      </c>
      <c r="B49" s="15"/>
      <c r="C49" s="66">
        <f>B49*2.87</f>
        <v>0</v>
      </c>
      <c r="D49" s="14">
        <v>43891</v>
      </c>
      <c r="E49" s="15"/>
      <c r="F49" s="66">
        <f t="shared" si="2"/>
        <v>0</v>
      </c>
      <c r="G49" s="66">
        <f>C49+F49</f>
        <v>0</v>
      </c>
    </row>
    <row r="50" spans="1:7" x14ac:dyDescent="0.3">
      <c r="A50" s="103">
        <v>43922</v>
      </c>
      <c r="B50" s="15">
        <v>450</v>
      </c>
      <c r="C50" s="66">
        <f>110+(B50*2.87)</f>
        <v>1401.5</v>
      </c>
      <c r="D50" s="14">
        <v>43922</v>
      </c>
      <c r="E50" s="15">
        <v>0</v>
      </c>
      <c r="F50" s="66">
        <f t="shared" si="2"/>
        <v>0</v>
      </c>
      <c r="G50" s="66">
        <f>C50+F50</f>
        <v>1401.5</v>
      </c>
    </row>
    <row r="51" spans="1:7" x14ac:dyDescent="0.3">
      <c r="A51" s="103">
        <v>43952</v>
      </c>
      <c r="B51" s="15">
        <v>1015</v>
      </c>
      <c r="C51" s="66">
        <f>110+(B51*2.87)</f>
        <v>3023.05</v>
      </c>
      <c r="D51" s="14">
        <v>43952</v>
      </c>
      <c r="E51" s="15">
        <v>0</v>
      </c>
      <c r="F51" s="66">
        <f t="shared" si="2"/>
        <v>0</v>
      </c>
      <c r="G51" s="66">
        <f>C51+F51</f>
        <v>3023.05</v>
      </c>
    </row>
    <row r="52" spans="1:7" x14ac:dyDescent="0.3">
      <c r="A52" s="103">
        <v>43983</v>
      </c>
      <c r="B52" s="15">
        <v>1079</v>
      </c>
      <c r="C52" s="66">
        <f>B52*2.87</f>
        <v>3096.73</v>
      </c>
      <c r="D52" s="14">
        <v>43983</v>
      </c>
      <c r="E52" s="15">
        <v>0</v>
      </c>
      <c r="F52" s="66">
        <f>E52*6.76</f>
        <v>0</v>
      </c>
      <c r="G52" s="66">
        <f>C52+F52+110-160.24</f>
        <v>3046.49</v>
      </c>
    </row>
    <row r="53" spans="1:7" s="130" customFormat="1" x14ac:dyDescent="0.3">
      <c r="A53" s="7"/>
      <c r="B53" s="129"/>
      <c r="C53" s="126"/>
      <c r="D53" s="8"/>
      <c r="E53" s="235" t="s">
        <v>64</v>
      </c>
      <c r="F53" s="235"/>
      <c r="G53" s="136">
        <f>SUM(G41:G52)</f>
        <v>46020.27</v>
      </c>
    </row>
  </sheetData>
  <mergeCells count="15">
    <mergeCell ref="D9:F9"/>
    <mergeCell ref="E53:F53"/>
    <mergeCell ref="A31:C31"/>
    <mergeCell ref="D31:F31"/>
    <mergeCell ref="E37:F37"/>
    <mergeCell ref="A27:B27"/>
    <mergeCell ref="A28:B28"/>
    <mergeCell ref="A29:B29"/>
    <mergeCell ref="A39:C39"/>
    <mergeCell ref="D39:F39"/>
    <mergeCell ref="A7:B7"/>
    <mergeCell ref="A4:B4"/>
    <mergeCell ref="A5:B5"/>
    <mergeCell ref="A6:B6"/>
    <mergeCell ref="A9:C9"/>
  </mergeCells>
  <conditionalFormatting sqref="F25 F2">
    <cfRule type="cellIs" dxfId="14" priority="8" stopIfTrue="1" operator="between">
      <formula>TODAY()+61</formula>
      <formula>TODAY()+180</formula>
    </cfRule>
    <cfRule type="cellIs" dxfId="13" priority="9" stopIfTrue="1" operator="between">
      <formula>TODAY()+31</formula>
      <formula>TODAY()+60</formula>
    </cfRule>
    <cfRule type="cellIs" dxfId="12" priority="10" stopIfTrue="1" operator="between">
      <formula>TODAY()+30</formula>
      <formula>TODAY()</formula>
    </cfRule>
  </conditionalFormatting>
  <conditionalFormatting sqref="F25 F2">
    <cfRule type="cellIs" dxfId="11" priority="7" stopIfTrue="1" operator="between">
      <formula>TODAY()+181</formula>
      <formula>TODAY()+2000</formula>
    </cfRule>
  </conditionalFormatting>
  <conditionalFormatting sqref="F25 F2">
    <cfRule type="cellIs" dxfId="10" priority="6" stopIfTrue="1" operator="lessThan">
      <formula>TODAY()</formula>
    </cfRule>
  </conditionalFormatting>
  <pageMargins left="0.39370078740157483" right="0.39370078740157483" top="0.78740157480314965" bottom="0.59055118110236227" header="0.31496062992125984" footer="0.31496062992125984"/>
  <pageSetup paperSize="9" orientation="landscape" r:id="rId1"/>
  <headerFooter>
    <oddHeader>&amp;C&amp;"-,Negrito"&amp;12ACOMPANHAMENTO DE CONTRATOCDL - ANÁLISE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3"/>
  <sheetViews>
    <sheetView view="pageBreakPreview" zoomScale="130" zoomScaleSheetLayoutView="130" workbookViewId="0">
      <selection activeCell="G20" sqref="G20"/>
    </sheetView>
  </sheetViews>
  <sheetFormatPr defaultColWidth="9.109375" defaultRowHeight="14.4" x14ac:dyDescent="0.3"/>
  <cols>
    <col min="1" max="1" width="27.5546875" style="3" customWidth="1"/>
    <col min="2" max="2" width="6" style="22" bestFit="1" customWidth="1"/>
    <col min="3" max="3" width="10.5546875" style="6" bestFit="1" customWidth="1"/>
    <col min="4" max="4" width="12.5546875" style="6" bestFit="1" customWidth="1"/>
    <col min="5" max="5" width="6.5546875" style="3" bestFit="1" customWidth="1"/>
    <col min="6" max="6" width="13.6640625" style="3" bestFit="1" customWidth="1"/>
    <col min="7" max="7" width="13.33203125" style="3" customWidth="1"/>
    <col min="8" max="16384" width="9.109375" style="3"/>
  </cols>
  <sheetData>
    <row r="1" spans="1:9" s="52" customFormat="1" ht="33" customHeight="1" x14ac:dyDescent="0.3">
      <c r="A1" s="47" t="s">
        <v>76</v>
      </c>
      <c r="B1" s="128" t="s">
        <v>120</v>
      </c>
      <c r="C1" s="49" t="s">
        <v>61</v>
      </c>
      <c r="D1" s="132">
        <v>17500</v>
      </c>
      <c r="E1" s="49" t="s">
        <v>62</v>
      </c>
      <c r="F1" s="137">
        <v>43580</v>
      </c>
      <c r="H1" s="51"/>
      <c r="I1" s="51"/>
    </row>
    <row r="2" spans="1:9" s="52" customFormat="1" ht="26.25" customHeight="1" x14ac:dyDescent="0.3">
      <c r="A2" s="47" t="s">
        <v>63</v>
      </c>
      <c r="B2" s="53">
        <f>G41/D1</f>
        <v>0.11767314285714284</v>
      </c>
      <c r="C2" s="49" t="s">
        <v>54</v>
      </c>
      <c r="D2" s="54">
        <f>D1-G41</f>
        <v>15440.720000000001</v>
      </c>
      <c r="E2" s="49" t="s">
        <v>65</v>
      </c>
      <c r="F2" s="131">
        <f>F1+365</f>
        <v>43945</v>
      </c>
      <c r="H2" s="51"/>
      <c r="I2" s="51"/>
    </row>
    <row r="3" spans="1:9" s="52" customFormat="1" ht="26.25" customHeight="1" x14ac:dyDescent="0.3">
      <c r="H3" s="51"/>
      <c r="I3" s="51"/>
    </row>
    <row r="5" spans="1:9" ht="20.399999999999999" x14ac:dyDescent="0.3">
      <c r="A5" s="243" t="s">
        <v>11</v>
      </c>
      <c r="B5" s="243"/>
      <c r="C5" s="2" t="s">
        <v>12</v>
      </c>
      <c r="D5" s="2" t="s">
        <v>13</v>
      </c>
      <c r="E5" s="2" t="s">
        <v>14</v>
      </c>
    </row>
    <row r="6" spans="1:9" ht="48" customHeight="1" x14ac:dyDescent="0.3">
      <c r="A6" s="244" t="s">
        <v>23</v>
      </c>
      <c r="B6" s="244"/>
      <c r="C6" s="16">
        <v>2400</v>
      </c>
      <c r="D6" s="15">
        <f>SUM(E11:E22)</f>
        <v>462</v>
      </c>
      <c r="E6" s="15">
        <f>C6-D6</f>
        <v>1938</v>
      </c>
    </row>
    <row r="7" spans="1:9" ht="48" customHeight="1" x14ac:dyDescent="0.3">
      <c r="A7" s="244" t="s">
        <v>24</v>
      </c>
      <c r="B7" s="244"/>
      <c r="C7" s="16">
        <v>1000</v>
      </c>
      <c r="D7" s="15">
        <f>SUM(B11:B22)</f>
        <v>39</v>
      </c>
      <c r="E7" s="15">
        <f>C7-D7</f>
        <v>961</v>
      </c>
    </row>
    <row r="9" spans="1:9" ht="32.25" customHeight="1" x14ac:dyDescent="0.3">
      <c r="A9" s="234" t="s">
        <v>25</v>
      </c>
      <c r="B9" s="234"/>
      <c r="C9" s="234"/>
      <c r="D9" s="234" t="s">
        <v>26</v>
      </c>
      <c r="E9" s="234"/>
      <c r="F9" s="234"/>
      <c r="G9" s="234" t="s">
        <v>96</v>
      </c>
    </row>
    <row r="10" spans="1:9" x14ac:dyDescent="0.3">
      <c r="A10" s="163" t="s">
        <v>119</v>
      </c>
      <c r="B10" s="162" t="s">
        <v>20</v>
      </c>
      <c r="C10" s="162" t="s">
        <v>66</v>
      </c>
      <c r="D10" s="161" t="s">
        <v>119</v>
      </c>
      <c r="E10" s="162" t="s">
        <v>20</v>
      </c>
      <c r="F10" s="162" t="s">
        <v>66</v>
      </c>
      <c r="G10" s="234"/>
    </row>
    <row r="11" spans="1:9" x14ac:dyDescent="0.3">
      <c r="A11" s="103">
        <v>43952</v>
      </c>
      <c r="B11" s="15">
        <v>0</v>
      </c>
      <c r="C11" s="66"/>
      <c r="D11" s="14">
        <v>43952</v>
      </c>
      <c r="E11" s="15">
        <v>0</v>
      </c>
      <c r="F11" s="133"/>
      <c r="G11" s="133">
        <v>0</v>
      </c>
    </row>
    <row r="12" spans="1:9" x14ac:dyDescent="0.3">
      <c r="A12" s="103">
        <v>43983</v>
      </c>
      <c r="B12" s="15">
        <f>2+2</f>
        <v>4</v>
      </c>
      <c r="C12" s="66">
        <f>(2*1.71)+(2*2)</f>
        <v>7.42</v>
      </c>
      <c r="D12" s="14">
        <v>43983</v>
      </c>
      <c r="E12" s="15">
        <f>2+2</f>
        <v>4</v>
      </c>
      <c r="F12" s="66">
        <f>(2*1.71)+(2*2)</f>
        <v>7.42</v>
      </c>
      <c r="G12" s="133">
        <f>C12+F12</f>
        <v>14.84</v>
      </c>
    </row>
    <row r="13" spans="1:9" x14ac:dyDescent="0.3">
      <c r="A13" s="103">
        <v>44013</v>
      </c>
      <c r="B13" s="15">
        <v>20</v>
      </c>
      <c r="C13" s="66">
        <f>(B13*1.71)+(19*2)</f>
        <v>72.2</v>
      </c>
      <c r="D13" s="14">
        <v>44013</v>
      </c>
      <c r="E13" s="15">
        <v>128</v>
      </c>
      <c r="F13" s="66">
        <f>(E13*1.71)+(127*2)</f>
        <v>472.88</v>
      </c>
      <c r="G13" s="133">
        <f t="shared" ref="G13:G22" si="0">C13+F13</f>
        <v>545.08000000000004</v>
      </c>
    </row>
    <row r="14" spans="1:9" x14ac:dyDescent="0.3">
      <c r="A14" s="103">
        <v>44044</v>
      </c>
      <c r="B14" s="15">
        <v>1</v>
      </c>
      <c r="C14" s="66">
        <f>(B14*1.71)+(1*2)</f>
        <v>3.71</v>
      </c>
      <c r="D14" s="14">
        <v>44044</v>
      </c>
      <c r="E14" s="15">
        <v>24</v>
      </c>
      <c r="F14" s="66">
        <f>(E14*1.71)+(24*2)</f>
        <v>89.039999999999992</v>
      </c>
      <c r="G14" s="133">
        <f t="shared" si="0"/>
        <v>92.749999999999986</v>
      </c>
    </row>
    <row r="15" spans="1:9" x14ac:dyDescent="0.3">
      <c r="A15" s="103">
        <v>44075</v>
      </c>
      <c r="B15" s="15"/>
      <c r="C15" s="66"/>
      <c r="D15" s="14"/>
      <c r="E15" s="15"/>
      <c r="F15" s="66"/>
      <c r="G15" s="133"/>
    </row>
    <row r="16" spans="1:9" x14ac:dyDescent="0.3">
      <c r="A16" s="103">
        <v>44105</v>
      </c>
      <c r="B16" s="15"/>
      <c r="C16" s="66"/>
      <c r="D16" s="14">
        <v>44105</v>
      </c>
      <c r="E16" s="15"/>
      <c r="F16" s="133"/>
      <c r="G16" s="133">
        <f t="shared" si="0"/>
        <v>0</v>
      </c>
    </row>
    <row r="17" spans="1:7" x14ac:dyDescent="0.3">
      <c r="A17" s="103">
        <v>44136</v>
      </c>
      <c r="B17" s="15">
        <v>4</v>
      </c>
      <c r="C17" s="66">
        <f>(B17*1.71)+(3*2)</f>
        <v>12.84</v>
      </c>
      <c r="D17" s="14">
        <v>44075</v>
      </c>
      <c r="E17" s="15">
        <v>164</v>
      </c>
      <c r="F17" s="66">
        <f>(E17*1.71)+(E17*2)</f>
        <v>608.44000000000005</v>
      </c>
      <c r="G17" s="133">
        <f>C17+F17+'SERASA ANALISE'!G15</f>
        <v>831.18000000000006</v>
      </c>
    </row>
    <row r="18" spans="1:7" x14ac:dyDescent="0.3">
      <c r="A18" s="103">
        <v>44166</v>
      </c>
      <c r="B18" s="15"/>
      <c r="C18" s="66"/>
      <c r="D18" s="14">
        <v>44166</v>
      </c>
      <c r="E18" s="15"/>
      <c r="F18" s="133"/>
      <c r="G18" s="133">
        <f t="shared" si="0"/>
        <v>0</v>
      </c>
    </row>
    <row r="19" spans="1:7" x14ac:dyDescent="0.3">
      <c r="A19" s="103">
        <v>44197</v>
      </c>
      <c r="B19" s="15">
        <v>10</v>
      </c>
      <c r="C19" s="66">
        <f>(B19*1.71)+(10*2)</f>
        <v>37.1</v>
      </c>
      <c r="D19" s="14">
        <v>44197</v>
      </c>
      <c r="E19" s="15">
        <v>142</v>
      </c>
      <c r="F19" s="66">
        <f>(E19*1.71)+(142*2)</f>
        <v>526.81999999999994</v>
      </c>
      <c r="G19" s="133">
        <f t="shared" si="0"/>
        <v>563.91999999999996</v>
      </c>
    </row>
    <row r="20" spans="1:7" x14ac:dyDescent="0.3">
      <c r="A20" s="103">
        <v>44228</v>
      </c>
      <c r="B20" s="15"/>
      <c r="C20" s="66"/>
      <c r="D20" s="14">
        <v>44228</v>
      </c>
      <c r="E20" s="15"/>
      <c r="F20" s="133"/>
      <c r="G20" s="133">
        <f t="shared" si="0"/>
        <v>0</v>
      </c>
    </row>
    <row r="21" spans="1:7" x14ac:dyDescent="0.3">
      <c r="A21" s="103">
        <v>44256</v>
      </c>
      <c r="B21" s="15"/>
      <c r="C21" s="66"/>
      <c r="D21" s="14">
        <v>44256</v>
      </c>
      <c r="E21" s="15"/>
      <c r="F21" s="133"/>
      <c r="G21" s="133">
        <f t="shared" si="0"/>
        <v>0</v>
      </c>
    </row>
    <row r="22" spans="1:7" x14ac:dyDescent="0.3">
      <c r="A22" s="103">
        <v>44287</v>
      </c>
      <c r="B22" s="15"/>
      <c r="C22" s="160"/>
      <c r="D22" s="14">
        <v>44287</v>
      </c>
      <c r="E22" s="15"/>
      <c r="F22" s="160"/>
      <c r="G22" s="133">
        <f t="shared" si="0"/>
        <v>0</v>
      </c>
    </row>
    <row r="23" spans="1:7" x14ac:dyDescent="0.3">
      <c r="A23" s="249" t="s">
        <v>122</v>
      </c>
      <c r="B23" s="249"/>
      <c r="C23" s="249"/>
      <c r="D23" s="249"/>
      <c r="E23" s="249"/>
      <c r="F23" s="249"/>
      <c r="G23" s="109">
        <f>SUM(G11:G22)</f>
        <v>2047.77</v>
      </c>
    </row>
    <row r="24" spans="1:7" x14ac:dyDescent="0.3">
      <c r="B24" s="3"/>
      <c r="C24" s="3"/>
      <c r="D24" s="3"/>
    </row>
    <row r="25" spans="1:7" x14ac:dyDescent="0.3">
      <c r="B25" s="3"/>
      <c r="C25" s="3"/>
      <c r="D25" s="3"/>
    </row>
    <row r="26" spans="1:7" x14ac:dyDescent="0.3">
      <c r="A26" s="250" t="s">
        <v>137</v>
      </c>
      <c r="B26" s="250"/>
      <c r="C26" s="250"/>
      <c r="D26" s="250"/>
      <c r="E26" s="250"/>
      <c r="F26" s="250"/>
      <c r="G26" s="250"/>
    </row>
    <row r="27" spans="1:7" ht="32.25" customHeight="1" x14ac:dyDescent="0.3">
      <c r="A27" s="234" t="s">
        <v>25</v>
      </c>
      <c r="B27" s="234"/>
      <c r="C27" s="234"/>
      <c r="D27" s="234" t="s">
        <v>26</v>
      </c>
      <c r="E27" s="234"/>
      <c r="F27" s="234"/>
      <c r="G27" s="234" t="s">
        <v>96</v>
      </c>
    </row>
    <row r="28" spans="1:7" x14ac:dyDescent="0.3">
      <c r="A28" s="119" t="s">
        <v>119</v>
      </c>
      <c r="B28" s="118" t="s">
        <v>20</v>
      </c>
      <c r="C28" s="118" t="s">
        <v>66</v>
      </c>
      <c r="D28" s="116" t="s">
        <v>119</v>
      </c>
      <c r="E28" s="118" t="s">
        <v>20</v>
      </c>
      <c r="F28" s="118" t="s">
        <v>66</v>
      </c>
      <c r="G28" s="234"/>
    </row>
    <row r="29" spans="1:7" x14ac:dyDescent="0.3">
      <c r="A29" s="103">
        <v>43586</v>
      </c>
      <c r="B29" s="15">
        <f>21+21</f>
        <v>42</v>
      </c>
      <c r="C29" s="66"/>
      <c r="D29" s="14">
        <v>43586</v>
      </c>
      <c r="E29" s="15">
        <f>62+62</f>
        <v>124</v>
      </c>
      <c r="F29" s="133"/>
      <c r="G29" s="133">
        <v>299.63</v>
      </c>
    </row>
    <row r="30" spans="1:7" x14ac:dyDescent="0.3">
      <c r="A30" s="103">
        <v>43617</v>
      </c>
      <c r="B30" s="15"/>
      <c r="C30" s="66"/>
      <c r="D30" s="14">
        <v>43617</v>
      </c>
      <c r="E30" s="15"/>
      <c r="F30" s="133"/>
      <c r="G30" s="133">
        <v>157.87</v>
      </c>
    </row>
    <row r="31" spans="1:7" x14ac:dyDescent="0.3">
      <c r="A31" s="103">
        <v>43647</v>
      </c>
      <c r="B31" s="15"/>
      <c r="C31" s="66"/>
      <c r="D31" s="14">
        <v>43647</v>
      </c>
      <c r="E31" s="15"/>
      <c r="F31" s="133"/>
      <c r="G31" s="133">
        <v>279.58</v>
      </c>
    </row>
    <row r="32" spans="1:7" x14ac:dyDescent="0.3">
      <c r="A32" s="103">
        <v>43678</v>
      </c>
      <c r="B32" s="15"/>
      <c r="C32" s="66"/>
      <c r="D32" s="14">
        <v>43678</v>
      </c>
      <c r="E32" s="15"/>
      <c r="F32" s="133"/>
      <c r="G32" s="133">
        <v>339.34</v>
      </c>
    </row>
    <row r="33" spans="1:9" x14ac:dyDescent="0.3">
      <c r="A33" s="103">
        <v>43709</v>
      </c>
      <c r="B33" s="15">
        <f>12+10</f>
        <v>22</v>
      </c>
      <c r="C33" s="66">
        <f>(12*1.61)+(10*2)</f>
        <v>39.32</v>
      </c>
      <c r="D33" s="14">
        <v>43709</v>
      </c>
      <c r="E33" s="15">
        <f>31+31</f>
        <v>62</v>
      </c>
      <c r="F33" s="66">
        <f>(31*1.61)+(31*2)</f>
        <v>111.91</v>
      </c>
      <c r="G33" s="133">
        <f>C33+F33</f>
        <v>151.22999999999999</v>
      </c>
    </row>
    <row r="34" spans="1:9" x14ac:dyDescent="0.3">
      <c r="A34" s="134">
        <v>43739</v>
      </c>
      <c r="B34" s="15">
        <v>5</v>
      </c>
      <c r="C34" s="66">
        <f>8.05+20</f>
        <v>28.05</v>
      </c>
      <c r="D34" s="135">
        <v>43739</v>
      </c>
      <c r="E34" s="15">
        <v>15</v>
      </c>
      <c r="F34" s="133">
        <f>24.15+20</f>
        <v>44.15</v>
      </c>
      <c r="G34" s="133">
        <f t="shared" ref="G34:G40" si="1">C34+F34</f>
        <v>72.2</v>
      </c>
    </row>
    <row r="35" spans="1:9" x14ac:dyDescent="0.3">
      <c r="A35" s="134">
        <v>43770</v>
      </c>
      <c r="B35" s="15">
        <v>12</v>
      </c>
      <c r="C35" s="66">
        <f>40.25+(2*12)</f>
        <v>64.25</v>
      </c>
      <c r="D35" s="135">
        <v>43770</v>
      </c>
      <c r="E35" s="15">
        <v>25</v>
      </c>
      <c r="F35" s="133">
        <f>19.32+(2*25)</f>
        <v>69.319999999999993</v>
      </c>
      <c r="G35" s="133">
        <f>C35+F35</f>
        <v>133.57</v>
      </c>
    </row>
    <row r="36" spans="1:9" x14ac:dyDescent="0.3">
      <c r="A36" s="134">
        <v>43800</v>
      </c>
      <c r="B36" s="15">
        <f>13</f>
        <v>13</v>
      </c>
      <c r="C36" s="66">
        <f>(13*1.61)+(13*2)</f>
        <v>46.93</v>
      </c>
      <c r="D36" s="135">
        <v>43800</v>
      </c>
      <c r="E36" s="15">
        <v>24</v>
      </c>
      <c r="F36" s="133">
        <f>(24*1.61)+(24*2)</f>
        <v>86.64</v>
      </c>
      <c r="G36" s="133">
        <f t="shared" si="1"/>
        <v>133.57</v>
      </c>
    </row>
    <row r="37" spans="1:9" x14ac:dyDescent="0.3">
      <c r="A37" s="134">
        <v>43831</v>
      </c>
      <c r="B37" s="15">
        <v>31</v>
      </c>
      <c r="C37" s="66">
        <f>49.91+40</f>
        <v>89.91</v>
      </c>
      <c r="D37" s="135">
        <v>43831</v>
      </c>
      <c r="E37" s="15">
        <v>31</v>
      </c>
      <c r="F37" s="133">
        <f>17.71+40</f>
        <v>57.71</v>
      </c>
      <c r="G37" s="133">
        <f t="shared" si="1"/>
        <v>147.62</v>
      </c>
    </row>
    <row r="38" spans="1:9" x14ac:dyDescent="0.3">
      <c r="A38" s="134">
        <v>43862</v>
      </c>
      <c r="B38" s="15">
        <f>9+9</f>
        <v>18</v>
      </c>
      <c r="C38" s="66">
        <f>(1.61*9)+(2*9)</f>
        <v>32.49</v>
      </c>
      <c r="D38" s="135">
        <v>43862</v>
      </c>
      <c r="E38" s="15">
        <f>64+64</f>
        <v>128</v>
      </c>
      <c r="F38" s="133">
        <f>(64*1.61)+(2*64)</f>
        <v>231.04000000000002</v>
      </c>
      <c r="G38" s="133">
        <f t="shared" si="1"/>
        <v>263.53000000000003</v>
      </c>
    </row>
    <row r="39" spans="1:9" x14ac:dyDescent="0.3">
      <c r="A39" s="134">
        <v>43891</v>
      </c>
      <c r="B39" s="15">
        <v>6</v>
      </c>
      <c r="C39" s="66">
        <f>(1.61*6)+(2*6)</f>
        <v>21.66</v>
      </c>
      <c r="D39" s="135">
        <v>43891</v>
      </c>
      <c r="E39" s="15">
        <v>13</v>
      </c>
      <c r="F39" s="133">
        <f>(13*1.61)+(2*13)</f>
        <v>46.93</v>
      </c>
      <c r="G39" s="133">
        <f t="shared" si="1"/>
        <v>68.59</v>
      </c>
    </row>
    <row r="40" spans="1:9" x14ac:dyDescent="0.3">
      <c r="A40" s="134">
        <v>43922</v>
      </c>
      <c r="B40" s="15">
        <v>3</v>
      </c>
      <c r="C40" s="160">
        <f>5.13+2</f>
        <v>7.13</v>
      </c>
      <c r="D40" s="135">
        <v>43922</v>
      </c>
      <c r="E40" s="15">
        <v>2</v>
      </c>
      <c r="F40" s="160">
        <f>3.42+2</f>
        <v>5.42</v>
      </c>
      <c r="G40" s="133">
        <f t="shared" si="1"/>
        <v>12.55</v>
      </c>
    </row>
    <row r="41" spans="1:9" x14ac:dyDescent="0.3">
      <c r="A41" s="249" t="s">
        <v>122</v>
      </c>
      <c r="B41" s="249"/>
      <c r="C41" s="249"/>
      <c r="D41" s="249"/>
      <c r="E41" s="249"/>
      <c r="F41" s="249"/>
      <c r="G41" s="109">
        <f>SUM(G29:G40)</f>
        <v>2059.2799999999997</v>
      </c>
    </row>
    <row r="43" spans="1:9" s="52" customFormat="1" ht="33" customHeight="1" x14ac:dyDescent="0.3">
      <c r="A43" s="47" t="s">
        <v>76</v>
      </c>
      <c r="B43" s="72"/>
      <c r="C43" s="94" t="s">
        <v>61</v>
      </c>
      <c r="D43" s="48"/>
      <c r="E43" s="94" t="s">
        <v>62</v>
      </c>
      <c r="F43" s="50"/>
      <c r="H43" s="51"/>
      <c r="I43" s="51"/>
    </row>
    <row r="44" spans="1:9" s="52" customFormat="1" ht="26.25" customHeight="1" x14ac:dyDescent="0.3">
      <c r="A44" s="47" t="s">
        <v>63</v>
      </c>
      <c r="B44" s="53" t="e">
        <f>D44/D43</f>
        <v>#DIV/0!</v>
      </c>
      <c r="C44" s="94" t="s">
        <v>64</v>
      </c>
      <c r="D44" s="74"/>
      <c r="E44" s="94" t="s">
        <v>65</v>
      </c>
      <c r="F44" s="55">
        <f>F43+364</f>
        <v>364</v>
      </c>
      <c r="H44" s="51"/>
      <c r="I44" s="51"/>
    </row>
    <row r="45" spans="1:9" s="52" customFormat="1" ht="26.25" customHeight="1" x14ac:dyDescent="0.3">
      <c r="H45" s="51"/>
      <c r="I45" s="51"/>
    </row>
    <row r="46" spans="1:9" ht="37.5" customHeight="1" x14ac:dyDescent="0.3">
      <c r="A46" s="243" t="s">
        <v>11</v>
      </c>
      <c r="B46" s="243"/>
      <c r="C46" s="94" t="s">
        <v>12</v>
      </c>
      <c r="D46" s="94" t="s">
        <v>13</v>
      </c>
      <c r="E46" s="94" t="s">
        <v>14</v>
      </c>
    </row>
    <row r="47" spans="1:9" ht="32.25" customHeight="1" x14ac:dyDescent="0.3">
      <c r="A47" s="244" t="s">
        <v>23</v>
      </c>
      <c r="B47" s="244"/>
      <c r="C47" s="16">
        <v>2400</v>
      </c>
      <c r="D47" s="15">
        <f>SUM(D52:D63)</f>
        <v>2078</v>
      </c>
      <c r="E47" s="15">
        <f>C47-D47</f>
        <v>322</v>
      </c>
    </row>
    <row r="48" spans="1:9" ht="32.25" customHeight="1" x14ac:dyDescent="0.3">
      <c r="A48" s="244" t="s">
        <v>24</v>
      </c>
      <c r="B48" s="244"/>
      <c r="C48" s="16">
        <v>1000</v>
      </c>
      <c r="D48" s="15">
        <f>SUM(B52:B63)</f>
        <v>838</v>
      </c>
      <c r="E48" s="15">
        <f>C48-D48</f>
        <v>162</v>
      </c>
    </row>
    <row r="50" spans="1:5" x14ac:dyDescent="0.3">
      <c r="A50" s="248" t="s">
        <v>25</v>
      </c>
      <c r="B50" s="248"/>
      <c r="C50" s="248" t="s">
        <v>26</v>
      </c>
      <c r="D50" s="248"/>
    </row>
    <row r="51" spans="1:5" x14ac:dyDescent="0.3">
      <c r="A51" s="17" t="s">
        <v>19</v>
      </c>
      <c r="B51" s="18" t="s">
        <v>20</v>
      </c>
      <c r="C51" s="19" t="s">
        <v>19</v>
      </c>
      <c r="D51" s="93" t="s">
        <v>20</v>
      </c>
    </row>
    <row r="52" spans="1:5" x14ac:dyDescent="0.3">
      <c r="A52" s="21">
        <v>43221</v>
      </c>
      <c r="B52" s="22">
        <f>46+46</f>
        <v>92</v>
      </c>
      <c r="C52" s="23">
        <v>43221</v>
      </c>
      <c r="D52" s="6">
        <f>108+108</f>
        <v>216</v>
      </c>
    </row>
    <row r="53" spans="1:5" x14ac:dyDescent="0.3">
      <c r="A53" s="21">
        <v>43252</v>
      </c>
      <c r="B53" s="22">
        <f>44+44</f>
        <v>88</v>
      </c>
      <c r="C53" s="23">
        <v>43252</v>
      </c>
      <c r="D53" s="6">
        <f>100+100</f>
        <v>200</v>
      </c>
    </row>
    <row r="54" spans="1:5" x14ac:dyDescent="0.3">
      <c r="A54" s="21">
        <v>43282</v>
      </c>
      <c r="B54" s="22">
        <f>33/1.5+22</f>
        <v>44</v>
      </c>
      <c r="C54" s="23">
        <v>43282</v>
      </c>
      <c r="D54" s="6">
        <f>99+99</f>
        <v>198</v>
      </c>
    </row>
    <row r="55" spans="1:5" x14ac:dyDescent="0.3">
      <c r="A55" s="21">
        <v>43313</v>
      </c>
      <c r="B55" s="22">
        <f>49+49</f>
        <v>98</v>
      </c>
      <c r="C55" s="23">
        <v>43313</v>
      </c>
      <c r="D55" s="6">
        <f>59+10+59+10</f>
        <v>138</v>
      </c>
    </row>
    <row r="56" spans="1:5" x14ac:dyDescent="0.3">
      <c r="A56" s="21">
        <v>43344</v>
      </c>
      <c r="B56" s="22">
        <f>18+18</f>
        <v>36</v>
      </c>
      <c r="C56" s="23">
        <v>43344</v>
      </c>
      <c r="D56" s="6">
        <f>58+58</f>
        <v>116</v>
      </c>
    </row>
    <row r="57" spans="1:5" x14ac:dyDescent="0.3">
      <c r="A57" s="24">
        <v>43374</v>
      </c>
      <c r="B57" s="25">
        <v>72</v>
      </c>
      <c r="C57" s="26">
        <v>43374</v>
      </c>
      <c r="D57" s="27">
        <v>174</v>
      </c>
      <c r="E57" s="28"/>
    </row>
    <row r="58" spans="1:5" x14ac:dyDescent="0.3">
      <c r="A58" s="24">
        <v>43405</v>
      </c>
      <c r="B58" s="25">
        <v>72</v>
      </c>
      <c r="C58" s="26">
        <v>43405</v>
      </c>
      <c r="D58" s="27">
        <v>174</v>
      </c>
      <c r="E58" s="28"/>
    </row>
    <row r="59" spans="1:5" x14ac:dyDescent="0.3">
      <c r="A59" s="24">
        <v>43435</v>
      </c>
      <c r="B59" s="25">
        <v>72</v>
      </c>
      <c r="C59" s="26">
        <v>43435</v>
      </c>
      <c r="D59" s="27">
        <v>174</v>
      </c>
      <c r="E59" s="28"/>
    </row>
    <row r="60" spans="1:5" x14ac:dyDescent="0.3">
      <c r="A60" s="24">
        <v>43466</v>
      </c>
      <c r="B60" s="25">
        <v>72</v>
      </c>
      <c r="C60" s="26">
        <v>43466</v>
      </c>
      <c r="D60" s="27">
        <v>174</v>
      </c>
      <c r="E60" s="28"/>
    </row>
    <row r="61" spans="1:5" x14ac:dyDescent="0.3">
      <c r="A61" s="24">
        <v>43497</v>
      </c>
      <c r="B61" s="25">
        <v>72</v>
      </c>
      <c r="C61" s="26">
        <v>43497</v>
      </c>
      <c r="D61" s="27">
        <v>174</v>
      </c>
      <c r="E61" s="28"/>
    </row>
    <row r="62" spans="1:5" x14ac:dyDescent="0.3">
      <c r="A62" s="24">
        <v>43525</v>
      </c>
      <c r="B62" s="25">
        <v>72</v>
      </c>
      <c r="C62" s="26">
        <v>43525</v>
      </c>
      <c r="D62" s="27">
        <v>174</v>
      </c>
      <c r="E62" s="28"/>
    </row>
    <row r="63" spans="1:5" x14ac:dyDescent="0.3">
      <c r="A63" s="21">
        <v>43556</v>
      </c>
      <c r="B63" s="22">
        <f>24+24</f>
        <v>48</v>
      </c>
      <c r="C63" s="23">
        <v>43556</v>
      </c>
      <c r="D63" s="6">
        <f>83+83</f>
        <v>166</v>
      </c>
    </row>
  </sheetData>
  <mergeCells count="17">
    <mergeCell ref="A5:B5"/>
    <mergeCell ref="A48:B48"/>
    <mergeCell ref="A41:F41"/>
    <mergeCell ref="G27:G28"/>
    <mergeCell ref="G9:G10"/>
    <mergeCell ref="A50:B50"/>
    <mergeCell ref="C50:D50"/>
    <mergeCell ref="A6:B6"/>
    <mergeCell ref="A7:B7"/>
    <mergeCell ref="D27:F27"/>
    <mergeCell ref="A27:C27"/>
    <mergeCell ref="A46:B46"/>
    <mergeCell ref="A47:B47"/>
    <mergeCell ref="A9:C9"/>
    <mergeCell ref="D9:F9"/>
    <mergeCell ref="A23:F23"/>
    <mergeCell ref="A26:G26"/>
  </mergeCells>
  <conditionalFormatting sqref="F44">
    <cfRule type="cellIs" dxfId="9" priority="6" stopIfTrue="1" operator="lessThan">
      <formula>TODAY()</formula>
    </cfRule>
  </conditionalFormatting>
  <conditionalFormatting sqref="F2">
    <cfRule type="cellIs" dxfId="8" priority="1" stopIfTrue="1" operator="lessThan">
      <formula>TODAY()</formula>
    </cfRule>
  </conditionalFormatting>
  <pageMargins left="0.39370078740157483" right="0.39370078740157483" top="0.98425196850393704" bottom="0.78740157480314965" header="0.31496062992125984" footer="0.31496062992125984"/>
  <pageSetup paperSize="9" scale="97" orientation="portrait" r:id="rId1"/>
  <headerFooter>
    <oddHeader>&amp;C&amp;"-,Negrito"&amp;12ACOMPANHAMENTO DE CONTRATOSSERASA - NEGATIVAÇÃO</oddHeader>
  </headerFooter>
  <rowBreaks count="1" manualBreakCount="1">
    <brk id="4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8"/>
  <sheetViews>
    <sheetView view="pageBreakPreview" zoomScaleSheetLayoutView="100" zoomScalePageLayoutView="70" workbookViewId="0">
      <selection activeCell="G20" sqref="G20"/>
    </sheetView>
  </sheetViews>
  <sheetFormatPr defaultColWidth="9.109375" defaultRowHeight="14.4" x14ac:dyDescent="0.3"/>
  <cols>
    <col min="1" max="1" width="44.109375" style="3" customWidth="1"/>
    <col min="2" max="2" width="6.44140625" style="3" bestFit="1" customWidth="1"/>
    <col min="3" max="3" width="11.88671875" style="3" customWidth="1"/>
    <col min="4" max="4" width="12.33203125" style="6" customWidth="1"/>
    <col min="5" max="5" width="9.109375" style="3"/>
    <col min="6" max="6" width="11.88671875" style="3" bestFit="1" customWidth="1"/>
    <col min="7" max="7" width="12.33203125" style="3" bestFit="1" customWidth="1"/>
    <col min="8" max="8" width="12.109375" style="3" bestFit="1" customWidth="1"/>
    <col min="9" max="9" width="9.5546875" style="3" bestFit="1" customWidth="1"/>
    <col min="10" max="16384" width="9.109375" style="3"/>
  </cols>
  <sheetData>
    <row r="1" spans="1:10" s="52" customFormat="1" ht="33" customHeight="1" x14ac:dyDescent="0.3">
      <c r="A1" s="47" t="s">
        <v>76</v>
      </c>
      <c r="B1" s="128" t="s">
        <v>121</v>
      </c>
      <c r="C1" s="49" t="s">
        <v>61</v>
      </c>
      <c r="D1" s="132">
        <v>59784</v>
      </c>
      <c r="E1" s="49" t="s">
        <v>62</v>
      </c>
      <c r="F1" s="137">
        <v>43607</v>
      </c>
      <c r="I1" s="51"/>
      <c r="J1" s="51"/>
    </row>
    <row r="2" spans="1:10" s="52" customFormat="1" ht="26.25" customHeight="1" x14ac:dyDescent="0.3">
      <c r="A2" s="47" t="s">
        <v>63</v>
      </c>
      <c r="B2" s="53">
        <f>G40/D1</f>
        <v>0.13231466613140641</v>
      </c>
      <c r="C2" s="120" t="s">
        <v>54</v>
      </c>
      <c r="D2" s="54">
        <f>D1-G40</f>
        <v>51873.7</v>
      </c>
      <c r="E2" s="49" t="s">
        <v>65</v>
      </c>
      <c r="F2" s="131">
        <f>F1+365</f>
        <v>43972</v>
      </c>
      <c r="I2" s="51"/>
      <c r="J2" s="51"/>
    </row>
    <row r="3" spans="1:10" s="52" customFormat="1" ht="26.25" customHeight="1" x14ac:dyDescent="0.3">
      <c r="I3" s="51"/>
      <c r="J3" s="51"/>
    </row>
    <row r="4" spans="1:10" ht="45" customHeight="1" x14ac:dyDescent="0.3">
      <c r="A4" s="243" t="s">
        <v>11</v>
      </c>
      <c r="B4" s="243"/>
      <c r="C4" s="29" t="s">
        <v>12</v>
      </c>
      <c r="D4" s="29" t="s">
        <v>13</v>
      </c>
      <c r="E4" s="29" t="s">
        <v>14</v>
      </c>
    </row>
    <row r="5" spans="1:10" ht="102" customHeight="1" x14ac:dyDescent="0.3">
      <c r="A5" s="244" t="s">
        <v>27</v>
      </c>
      <c r="B5" s="244"/>
      <c r="C5" s="16">
        <v>6000</v>
      </c>
      <c r="D5" s="4">
        <f>SUM(B28:B39)</f>
        <v>373</v>
      </c>
      <c r="E5" s="4">
        <f>C5-D5</f>
        <v>5627</v>
      </c>
    </row>
    <row r="6" spans="1:10" ht="122.25" customHeight="1" x14ac:dyDescent="0.3">
      <c r="A6" s="244" t="s">
        <v>28</v>
      </c>
      <c r="B6" s="244"/>
      <c r="C6" s="16">
        <v>2400</v>
      </c>
      <c r="D6" s="4">
        <f>SUM(E28:E39)</f>
        <v>240</v>
      </c>
      <c r="E6" s="4">
        <f>C6-D6</f>
        <v>2160</v>
      </c>
    </row>
    <row r="8" spans="1:10" ht="32.25" customHeight="1" x14ac:dyDescent="0.3">
      <c r="A8" s="234" t="s">
        <v>29</v>
      </c>
      <c r="B8" s="234"/>
      <c r="C8" s="234"/>
      <c r="D8" s="243" t="s">
        <v>30</v>
      </c>
      <c r="E8" s="243"/>
      <c r="F8" s="243"/>
      <c r="G8" s="162" t="s">
        <v>31</v>
      </c>
    </row>
    <row r="9" spans="1:10" x14ac:dyDescent="0.3">
      <c r="A9" s="161" t="s">
        <v>19</v>
      </c>
      <c r="B9" s="162" t="s">
        <v>20</v>
      </c>
      <c r="C9" s="162" t="s">
        <v>66</v>
      </c>
      <c r="D9" s="161" t="s">
        <v>19</v>
      </c>
      <c r="E9" s="162" t="s">
        <v>20</v>
      </c>
      <c r="F9" s="162" t="s">
        <v>66</v>
      </c>
      <c r="G9" s="162" t="s">
        <v>95</v>
      </c>
    </row>
    <row r="10" spans="1:10" x14ac:dyDescent="0.3">
      <c r="A10" s="138">
        <v>43983</v>
      </c>
      <c r="B10" s="139">
        <v>55</v>
      </c>
      <c r="C10" s="133">
        <f>B10*10.82</f>
        <v>595.1</v>
      </c>
      <c r="D10" s="138">
        <v>43983</v>
      </c>
      <c r="E10" s="139">
        <v>26</v>
      </c>
      <c r="F10" s="133">
        <f>E10*9.05</f>
        <v>235.3</v>
      </c>
      <c r="G10" s="133">
        <f>C10+F10</f>
        <v>830.40000000000009</v>
      </c>
    </row>
    <row r="11" spans="1:10" x14ac:dyDescent="0.3">
      <c r="A11" s="138">
        <v>44013</v>
      </c>
      <c r="B11" s="139">
        <v>45</v>
      </c>
      <c r="C11" s="133">
        <f>B11*10.82</f>
        <v>486.90000000000003</v>
      </c>
      <c r="D11" s="138">
        <v>44013</v>
      </c>
      <c r="E11" s="139">
        <v>36</v>
      </c>
      <c r="F11" s="133">
        <f>E11*9.05</f>
        <v>325.8</v>
      </c>
      <c r="G11" s="133">
        <f t="shared" ref="G11:G21" si="0">C11+F11</f>
        <v>812.7</v>
      </c>
    </row>
    <row r="12" spans="1:10" x14ac:dyDescent="0.3">
      <c r="A12" s="138">
        <v>44044</v>
      </c>
      <c r="B12" s="140">
        <v>34</v>
      </c>
      <c r="C12" s="133">
        <f>B12*10.82</f>
        <v>367.88</v>
      </c>
      <c r="D12" s="138">
        <v>44044</v>
      </c>
      <c r="E12" s="139">
        <v>13</v>
      </c>
      <c r="F12" s="133">
        <f>E12*9.05</f>
        <v>117.65</v>
      </c>
      <c r="G12" s="133">
        <f t="shared" si="0"/>
        <v>485.53</v>
      </c>
    </row>
    <row r="13" spans="1:10" x14ac:dyDescent="0.3">
      <c r="A13" s="138">
        <v>44075</v>
      </c>
      <c r="B13" s="139"/>
      <c r="C13" s="133"/>
      <c r="D13" s="138">
        <v>44075</v>
      </c>
      <c r="E13" s="139"/>
      <c r="F13" s="133"/>
      <c r="G13" s="133">
        <f t="shared" si="0"/>
        <v>0</v>
      </c>
    </row>
    <row r="14" spans="1:10" x14ac:dyDescent="0.3">
      <c r="A14" s="138">
        <v>44105</v>
      </c>
      <c r="B14" s="139"/>
      <c r="C14" s="133"/>
      <c r="D14" s="138">
        <v>44105</v>
      </c>
      <c r="E14" s="139"/>
      <c r="F14" s="133"/>
      <c r="G14" s="133">
        <f t="shared" si="0"/>
        <v>0</v>
      </c>
    </row>
    <row r="15" spans="1:10" x14ac:dyDescent="0.3">
      <c r="A15" s="138">
        <v>44136</v>
      </c>
      <c r="B15" s="139">
        <v>11</v>
      </c>
      <c r="C15" s="133">
        <f>B15*10.82</f>
        <v>119.02000000000001</v>
      </c>
      <c r="D15" s="138">
        <v>44136</v>
      </c>
      <c r="E15" s="139">
        <v>8</v>
      </c>
      <c r="F15" s="133">
        <f>(E15*9.05)+(8*2.31)</f>
        <v>90.88000000000001</v>
      </c>
      <c r="G15" s="133">
        <f t="shared" si="0"/>
        <v>209.90000000000003</v>
      </c>
    </row>
    <row r="16" spans="1:10" x14ac:dyDescent="0.3">
      <c r="A16" s="138">
        <v>44166</v>
      </c>
      <c r="B16" s="139"/>
      <c r="C16" s="133"/>
      <c r="D16" s="138">
        <v>44166</v>
      </c>
      <c r="E16" s="139"/>
      <c r="F16" s="133"/>
      <c r="G16" s="133">
        <f t="shared" si="0"/>
        <v>0</v>
      </c>
      <c r="H16" s="145"/>
      <c r="I16" s="70"/>
    </row>
    <row r="17" spans="1:8" x14ac:dyDescent="0.3">
      <c r="A17" s="138">
        <v>44197</v>
      </c>
      <c r="B17" s="139">
        <v>21</v>
      </c>
      <c r="C17" s="133">
        <f>B17*10.81</f>
        <v>227.01000000000002</v>
      </c>
      <c r="D17" s="138">
        <v>44197</v>
      </c>
      <c r="E17" s="139">
        <v>24</v>
      </c>
      <c r="F17" s="133">
        <f>(E17*9.05)+(21*2.31)</f>
        <v>265.71000000000004</v>
      </c>
      <c r="G17" s="133">
        <f>C17+F17</f>
        <v>492.72</v>
      </c>
      <c r="H17" s="70">
        <f>G17+'SERASA NEG.'!G19</f>
        <v>1056.6399999999999</v>
      </c>
    </row>
    <row r="18" spans="1:8" x14ac:dyDescent="0.3">
      <c r="A18" s="138">
        <v>44228</v>
      </c>
      <c r="B18" s="139"/>
      <c r="C18" s="133"/>
      <c r="D18" s="138">
        <v>44228</v>
      </c>
      <c r="E18" s="139"/>
      <c r="F18" s="133"/>
      <c r="G18" s="133">
        <f t="shared" si="0"/>
        <v>0</v>
      </c>
    </row>
    <row r="19" spans="1:8" x14ac:dyDescent="0.3">
      <c r="A19" s="138">
        <v>44256</v>
      </c>
      <c r="B19" s="139"/>
      <c r="C19" s="133"/>
      <c r="D19" s="138">
        <v>44256</v>
      </c>
      <c r="E19" s="139"/>
      <c r="F19" s="133"/>
      <c r="G19" s="133">
        <f t="shared" si="0"/>
        <v>0</v>
      </c>
    </row>
    <row r="20" spans="1:8" x14ac:dyDescent="0.3">
      <c r="A20" s="138">
        <v>44287</v>
      </c>
      <c r="B20" s="139"/>
      <c r="C20" s="133"/>
      <c r="D20" s="138">
        <v>44287</v>
      </c>
      <c r="E20" s="139"/>
      <c r="F20" s="133"/>
      <c r="G20" s="133">
        <f t="shared" si="0"/>
        <v>0</v>
      </c>
    </row>
    <row r="21" spans="1:8" x14ac:dyDescent="0.3">
      <c r="A21" s="138">
        <v>44317</v>
      </c>
      <c r="B21" s="139"/>
      <c r="C21" s="133"/>
      <c r="D21" s="138">
        <v>44317</v>
      </c>
      <c r="E21" s="139"/>
      <c r="F21" s="133"/>
      <c r="G21" s="133">
        <f t="shared" si="0"/>
        <v>0</v>
      </c>
    </row>
    <row r="22" spans="1:8" x14ac:dyDescent="0.3">
      <c r="A22" s="249" t="s">
        <v>122</v>
      </c>
      <c r="B22" s="249"/>
      <c r="C22" s="249"/>
      <c r="D22" s="249"/>
      <c r="E22" s="249"/>
      <c r="F22" s="249"/>
      <c r="G22" s="109">
        <f>SUM(G10:G21)</f>
        <v>2831.25</v>
      </c>
    </row>
    <row r="23" spans="1:8" x14ac:dyDescent="0.3">
      <c r="D23" s="3"/>
    </row>
    <row r="24" spans="1:8" x14ac:dyDescent="0.3">
      <c r="D24" s="3"/>
    </row>
    <row r="25" spans="1:8" x14ac:dyDescent="0.3">
      <c r="A25" s="250" t="s">
        <v>137</v>
      </c>
      <c r="B25" s="250"/>
      <c r="C25" s="250"/>
      <c r="D25" s="250"/>
      <c r="E25" s="250"/>
      <c r="F25" s="250"/>
      <c r="G25" s="250"/>
    </row>
    <row r="26" spans="1:8" ht="32.25" customHeight="1" x14ac:dyDescent="0.3">
      <c r="A26" s="234" t="s">
        <v>29</v>
      </c>
      <c r="B26" s="234"/>
      <c r="C26" s="234"/>
      <c r="D26" s="243" t="s">
        <v>30</v>
      </c>
      <c r="E26" s="243"/>
      <c r="F26" s="243"/>
      <c r="G26" s="118" t="s">
        <v>31</v>
      </c>
    </row>
    <row r="27" spans="1:8" x14ac:dyDescent="0.3">
      <c r="A27" s="116" t="s">
        <v>19</v>
      </c>
      <c r="B27" s="118" t="s">
        <v>20</v>
      </c>
      <c r="C27" s="118" t="s">
        <v>66</v>
      </c>
      <c r="D27" s="116" t="s">
        <v>19</v>
      </c>
      <c r="E27" s="118" t="s">
        <v>20</v>
      </c>
      <c r="F27" s="118" t="s">
        <v>66</v>
      </c>
      <c r="G27" s="143" t="s">
        <v>95</v>
      </c>
    </row>
    <row r="28" spans="1:8" x14ac:dyDescent="0.3">
      <c r="A28" s="138">
        <v>43617</v>
      </c>
      <c r="B28" s="139"/>
      <c r="C28" s="133">
        <f>B28*10.05</f>
        <v>0</v>
      </c>
      <c r="D28" s="138">
        <v>43617</v>
      </c>
      <c r="E28" s="139"/>
      <c r="F28" s="133">
        <f>E28*10.05</f>
        <v>0</v>
      </c>
      <c r="G28" s="133">
        <v>597.04999999999995</v>
      </c>
    </row>
    <row r="29" spans="1:8" x14ac:dyDescent="0.3">
      <c r="A29" s="138">
        <v>43647</v>
      </c>
      <c r="B29" s="139"/>
      <c r="C29" s="133">
        <f>B29*10.05</f>
        <v>0</v>
      </c>
      <c r="D29" s="138">
        <v>43647</v>
      </c>
      <c r="E29" s="139"/>
      <c r="F29" s="133">
        <f>E29*10.05</f>
        <v>0</v>
      </c>
      <c r="G29" s="133">
        <v>587.1</v>
      </c>
    </row>
    <row r="30" spans="1:8" x14ac:dyDescent="0.3">
      <c r="A30" s="138">
        <v>43678</v>
      </c>
      <c r="B30" s="140"/>
      <c r="C30" s="133">
        <f>B30*10.05</f>
        <v>0</v>
      </c>
      <c r="D30" s="138">
        <v>43678</v>
      </c>
      <c r="E30" s="139"/>
      <c r="F30" s="133">
        <f>E30*10.05</f>
        <v>0</v>
      </c>
      <c r="G30" s="133">
        <v>760.05</v>
      </c>
    </row>
    <row r="31" spans="1:8" x14ac:dyDescent="0.3">
      <c r="A31" s="138">
        <v>43709</v>
      </c>
      <c r="B31" s="139">
        <f>61</f>
        <v>61</v>
      </c>
      <c r="C31" s="133">
        <f>B31*10.05</f>
        <v>613.05000000000007</v>
      </c>
      <c r="D31" s="138">
        <v>43709</v>
      </c>
      <c r="E31" s="139">
        <v>58</v>
      </c>
      <c r="F31" s="133">
        <f t="shared" ref="F31:F37" si="1">E31*8.4</f>
        <v>487.20000000000005</v>
      </c>
      <c r="G31" s="133">
        <f>C31+F31</f>
        <v>1100.25</v>
      </c>
    </row>
    <row r="32" spans="1:8" x14ac:dyDescent="0.3">
      <c r="A32" s="138">
        <v>43739</v>
      </c>
      <c r="B32" s="139">
        <v>34</v>
      </c>
      <c r="C32" s="133">
        <f t="shared" ref="C32:C39" si="2">B32*10.05</f>
        <v>341.70000000000005</v>
      </c>
      <c r="D32" s="138">
        <v>43739</v>
      </c>
      <c r="E32" s="139">
        <v>23</v>
      </c>
      <c r="F32" s="133">
        <f t="shared" si="1"/>
        <v>193.20000000000002</v>
      </c>
      <c r="G32" s="133">
        <f t="shared" ref="G32:G39" si="3">C32+F32</f>
        <v>534.90000000000009</v>
      </c>
    </row>
    <row r="33" spans="1:10" x14ac:dyDescent="0.3">
      <c r="A33" s="138">
        <v>43770</v>
      </c>
      <c r="B33" s="139">
        <v>37</v>
      </c>
      <c r="C33" s="133">
        <f t="shared" si="2"/>
        <v>371.85</v>
      </c>
      <c r="D33" s="138">
        <v>43770</v>
      </c>
      <c r="E33" s="139">
        <v>46</v>
      </c>
      <c r="F33" s="133">
        <f t="shared" si="1"/>
        <v>386.40000000000003</v>
      </c>
      <c r="G33" s="133">
        <f t="shared" si="3"/>
        <v>758.25</v>
      </c>
    </row>
    <row r="34" spans="1:10" x14ac:dyDescent="0.3">
      <c r="A34" s="138">
        <v>43800</v>
      </c>
      <c r="B34" s="139">
        <v>30</v>
      </c>
      <c r="C34" s="133">
        <f t="shared" si="2"/>
        <v>301.5</v>
      </c>
      <c r="D34" s="138">
        <v>43800</v>
      </c>
      <c r="E34" s="139">
        <v>26</v>
      </c>
      <c r="F34" s="133">
        <f t="shared" si="1"/>
        <v>218.4</v>
      </c>
      <c r="G34" s="133">
        <f t="shared" si="3"/>
        <v>519.9</v>
      </c>
      <c r="H34" s="145"/>
      <c r="I34" s="70"/>
    </row>
    <row r="35" spans="1:10" x14ac:dyDescent="0.3">
      <c r="A35" s="138">
        <v>43831</v>
      </c>
      <c r="B35" s="139">
        <v>50</v>
      </c>
      <c r="C35" s="133">
        <f t="shared" si="2"/>
        <v>502.50000000000006</v>
      </c>
      <c r="D35" s="138">
        <v>43831</v>
      </c>
      <c r="E35" s="139">
        <v>52</v>
      </c>
      <c r="F35" s="133">
        <f t="shared" si="1"/>
        <v>436.8</v>
      </c>
      <c r="G35" s="133">
        <f t="shared" si="3"/>
        <v>939.30000000000007</v>
      </c>
    </row>
    <row r="36" spans="1:10" x14ac:dyDescent="0.3">
      <c r="A36" s="138">
        <v>43862</v>
      </c>
      <c r="B36" s="139">
        <f>7+9</f>
        <v>16</v>
      </c>
      <c r="C36" s="133">
        <f t="shared" si="2"/>
        <v>160.80000000000001</v>
      </c>
      <c r="D36" s="138">
        <v>43862</v>
      </c>
      <c r="E36" s="139">
        <f>4+14</f>
        <v>18</v>
      </c>
      <c r="F36" s="133">
        <f t="shared" si="1"/>
        <v>151.20000000000002</v>
      </c>
      <c r="G36" s="133">
        <f t="shared" si="3"/>
        <v>312</v>
      </c>
    </row>
    <row r="37" spans="1:10" x14ac:dyDescent="0.3">
      <c r="A37" s="138">
        <v>43891</v>
      </c>
      <c r="B37" s="139">
        <v>145</v>
      </c>
      <c r="C37" s="133">
        <f>B37*10.05</f>
        <v>1457.25</v>
      </c>
      <c r="D37" s="138">
        <v>43891</v>
      </c>
      <c r="E37" s="139">
        <v>17</v>
      </c>
      <c r="F37" s="133">
        <f t="shared" si="1"/>
        <v>142.80000000000001</v>
      </c>
      <c r="G37" s="133">
        <f t="shared" si="3"/>
        <v>1600.05</v>
      </c>
    </row>
    <row r="38" spans="1:10" x14ac:dyDescent="0.3">
      <c r="A38" s="138">
        <v>43922</v>
      </c>
      <c r="B38" s="139"/>
      <c r="C38" s="133">
        <v>50.25</v>
      </c>
      <c r="D38" s="138">
        <v>43922</v>
      </c>
      <c r="E38" s="139"/>
      <c r="F38" s="133">
        <v>151.19999999999999</v>
      </c>
      <c r="G38" s="133">
        <f t="shared" si="3"/>
        <v>201.45</v>
      </c>
    </row>
    <row r="39" spans="1:10" x14ac:dyDescent="0.3">
      <c r="A39" s="138">
        <v>43952</v>
      </c>
      <c r="B39" s="139"/>
      <c r="C39" s="133">
        <f t="shared" si="2"/>
        <v>0</v>
      </c>
      <c r="D39" s="138">
        <v>43952</v>
      </c>
      <c r="E39" s="139"/>
      <c r="F39" s="133">
        <f>E39*10.05</f>
        <v>0</v>
      </c>
      <c r="G39" s="133">
        <f t="shared" si="3"/>
        <v>0</v>
      </c>
    </row>
    <row r="40" spans="1:10" x14ac:dyDescent="0.3">
      <c r="A40" s="249" t="s">
        <v>122</v>
      </c>
      <c r="B40" s="249"/>
      <c r="C40" s="249"/>
      <c r="D40" s="249"/>
      <c r="E40" s="249"/>
      <c r="F40" s="249"/>
      <c r="G40" s="109">
        <f>SUM(G28:G39)</f>
        <v>7910.3</v>
      </c>
    </row>
    <row r="48" spans="1:10" s="52" customFormat="1" ht="33" customHeight="1" x14ac:dyDescent="0.3">
      <c r="A48" s="47" t="s">
        <v>76</v>
      </c>
      <c r="B48" s="72"/>
      <c r="C48" s="94" t="s">
        <v>61</v>
      </c>
      <c r="D48" s="48"/>
      <c r="E48" s="94" t="s">
        <v>62</v>
      </c>
      <c r="F48" s="50"/>
      <c r="I48" s="51"/>
      <c r="J48" s="51"/>
    </row>
    <row r="49" spans="1:10" s="52" customFormat="1" ht="26.25" customHeight="1" x14ac:dyDescent="0.3">
      <c r="A49" s="47" t="s">
        <v>63</v>
      </c>
      <c r="B49" s="53" t="e">
        <f>D49/D48</f>
        <v>#DIV/0!</v>
      </c>
      <c r="C49" s="94" t="s">
        <v>64</v>
      </c>
      <c r="D49" s="74"/>
      <c r="E49" s="94" t="s">
        <v>65</v>
      </c>
      <c r="F49" s="55">
        <f>F48+364</f>
        <v>364</v>
      </c>
      <c r="I49" s="51"/>
      <c r="J49" s="51"/>
    </row>
    <row r="50" spans="1:10" s="52" customFormat="1" ht="26.25" customHeight="1" x14ac:dyDescent="0.3">
      <c r="I50" s="51"/>
      <c r="J50" s="51"/>
    </row>
    <row r="51" spans="1:10" ht="45" customHeight="1" x14ac:dyDescent="0.3">
      <c r="A51" s="243" t="s">
        <v>11</v>
      </c>
      <c r="B51" s="243"/>
      <c r="C51" s="29" t="s">
        <v>12</v>
      </c>
      <c r="D51" s="29" t="s">
        <v>13</v>
      </c>
      <c r="E51" s="29" t="s">
        <v>14</v>
      </c>
    </row>
    <row r="52" spans="1:10" ht="102" customHeight="1" x14ac:dyDescent="0.3">
      <c r="A52" s="244" t="s">
        <v>27</v>
      </c>
      <c r="B52" s="244"/>
      <c r="C52" s="16">
        <v>6000</v>
      </c>
      <c r="D52" s="4">
        <f>SUM(B57:B68)</f>
        <v>1441</v>
      </c>
      <c r="E52" s="4">
        <f>C52-D52</f>
        <v>4559</v>
      </c>
    </row>
    <row r="53" spans="1:10" ht="122.25" customHeight="1" x14ac:dyDescent="0.3">
      <c r="A53" s="244" t="s">
        <v>28</v>
      </c>
      <c r="B53" s="244"/>
      <c r="C53" s="16">
        <v>2400</v>
      </c>
      <c r="D53" s="4">
        <f>SUM(D57:D68)</f>
        <v>829.94296577946761</v>
      </c>
      <c r="E53" s="4">
        <f>C53-D53</f>
        <v>1570.0570342205324</v>
      </c>
    </row>
    <row r="55" spans="1:10" ht="50.25" customHeight="1" x14ac:dyDescent="0.3">
      <c r="A55" s="248" t="s">
        <v>29</v>
      </c>
      <c r="B55" s="248"/>
      <c r="C55" s="251" t="s">
        <v>30</v>
      </c>
      <c r="D55" s="251"/>
      <c r="E55" s="251"/>
    </row>
    <row r="56" spans="1:10" x14ac:dyDescent="0.3">
      <c r="A56" s="17" t="s">
        <v>19</v>
      </c>
      <c r="B56" s="18" t="s">
        <v>20</v>
      </c>
      <c r="C56" s="19" t="s">
        <v>19</v>
      </c>
      <c r="D56" s="93" t="s">
        <v>20</v>
      </c>
    </row>
    <row r="57" spans="1:10" x14ac:dyDescent="0.3">
      <c r="A57" s="30">
        <v>39600</v>
      </c>
      <c r="B57" s="31">
        <v>148</v>
      </c>
      <c r="C57" s="26">
        <v>39600</v>
      </c>
      <c r="D57" s="31">
        <v>148</v>
      </c>
    </row>
    <row r="58" spans="1:10" x14ac:dyDescent="0.3">
      <c r="A58" s="32">
        <v>39630</v>
      </c>
      <c r="B58" s="33">
        <f>(3115.2/9.44)</f>
        <v>330</v>
      </c>
      <c r="C58" s="23">
        <v>39630</v>
      </c>
      <c r="D58" s="33">
        <f>(828/7.89)+(4.04/2.02)</f>
        <v>106.94296577946768</v>
      </c>
    </row>
    <row r="59" spans="1:10" x14ac:dyDescent="0.3">
      <c r="A59" s="32">
        <v>39661</v>
      </c>
      <c r="B59" s="22">
        <v>73</v>
      </c>
      <c r="C59" s="23">
        <v>39661</v>
      </c>
      <c r="D59" s="33">
        <f>5+67</f>
        <v>72</v>
      </c>
    </row>
    <row r="60" spans="1:10" x14ac:dyDescent="0.3">
      <c r="A60" s="32">
        <v>39692</v>
      </c>
      <c r="B60" s="33">
        <v>40</v>
      </c>
      <c r="C60" s="23">
        <v>39692</v>
      </c>
      <c r="D60" s="33">
        <v>31</v>
      </c>
    </row>
    <row r="61" spans="1:10" x14ac:dyDescent="0.3">
      <c r="A61" s="30">
        <v>39722</v>
      </c>
      <c r="B61" s="31">
        <v>148</v>
      </c>
      <c r="C61" s="26">
        <v>39722</v>
      </c>
      <c r="D61" s="31">
        <v>70</v>
      </c>
    </row>
    <row r="62" spans="1:10" x14ac:dyDescent="0.3">
      <c r="A62" s="30">
        <v>39753</v>
      </c>
      <c r="B62" s="31">
        <v>148</v>
      </c>
      <c r="C62" s="26">
        <v>39753</v>
      </c>
      <c r="D62" s="31">
        <v>70</v>
      </c>
    </row>
    <row r="63" spans="1:10" x14ac:dyDescent="0.3">
      <c r="A63" s="30">
        <v>39783</v>
      </c>
      <c r="B63" s="31">
        <v>148</v>
      </c>
      <c r="C63" s="26">
        <v>39783</v>
      </c>
      <c r="D63" s="31">
        <v>70</v>
      </c>
    </row>
    <row r="64" spans="1:10" x14ac:dyDescent="0.3">
      <c r="A64" s="30">
        <v>39814</v>
      </c>
      <c r="B64" s="31">
        <v>148</v>
      </c>
      <c r="C64" s="26">
        <v>39814</v>
      </c>
      <c r="D64" s="31">
        <v>70</v>
      </c>
    </row>
    <row r="65" spans="1:4" x14ac:dyDescent="0.3">
      <c r="A65" s="30">
        <v>39845</v>
      </c>
      <c r="B65" s="31">
        <v>148</v>
      </c>
      <c r="C65" s="26">
        <v>39845</v>
      </c>
      <c r="D65" s="31">
        <v>70</v>
      </c>
    </row>
    <row r="66" spans="1:4" x14ac:dyDescent="0.3">
      <c r="A66" s="32">
        <v>39873</v>
      </c>
      <c r="B66" s="33">
        <v>41</v>
      </c>
      <c r="C66" s="23">
        <v>39873</v>
      </c>
      <c r="D66" s="33">
        <v>33</v>
      </c>
    </row>
    <row r="67" spans="1:4" x14ac:dyDescent="0.3">
      <c r="A67" s="32">
        <v>39904</v>
      </c>
      <c r="B67" s="33">
        <v>69</v>
      </c>
      <c r="C67" s="23">
        <v>39904</v>
      </c>
      <c r="D67" s="33">
        <v>89</v>
      </c>
    </row>
    <row r="68" spans="1:4" x14ac:dyDescent="0.3">
      <c r="A68" s="32">
        <v>39934</v>
      </c>
      <c r="B68" s="33"/>
      <c r="C68" s="23">
        <v>39934</v>
      </c>
      <c r="D68" s="33"/>
    </row>
  </sheetData>
  <mergeCells count="15">
    <mergeCell ref="A55:B55"/>
    <mergeCell ref="C55:E55"/>
    <mergeCell ref="A4:B4"/>
    <mergeCell ref="A5:B5"/>
    <mergeCell ref="A6:B6"/>
    <mergeCell ref="D26:F26"/>
    <mergeCell ref="A26:C26"/>
    <mergeCell ref="A51:B51"/>
    <mergeCell ref="A52:B52"/>
    <mergeCell ref="A53:B53"/>
    <mergeCell ref="A40:F40"/>
    <mergeCell ref="A8:C8"/>
    <mergeCell ref="D8:F8"/>
    <mergeCell ref="A22:F22"/>
    <mergeCell ref="A25:G25"/>
  </mergeCells>
  <conditionalFormatting sqref="F49">
    <cfRule type="cellIs" dxfId="7" priority="16" stopIfTrue="1" operator="lessThan">
      <formula>TODAY()</formula>
    </cfRule>
  </conditionalFormatting>
  <conditionalFormatting sqref="F2">
    <cfRule type="cellIs" dxfId="6" priority="1" stopIfTrue="1" operator="lessThan">
      <formula>TODAY()</formula>
    </cfRule>
  </conditionalFormatting>
  <pageMargins left="0.39370078740157483" right="0.39370078740157483" top="0.98425196850393704" bottom="0.78740157480314965" header="0.31496062992125984" footer="0.31496062992125984"/>
  <pageSetup paperSize="9" scale="82" orientation="portrait" r:id="rId1"/>
  <headerFooter>
    <oddHeader>&amp;C&amp;"-,Negrito"ACOMPANHAMENTO DE CONTRATOSSERASA - ANÁLISE</oddHeader>
  </headerFooter>
  <rowBreaks count="1" manualBreakCount="1">
    <brk id="4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0"/>
  <sheetViews>
    <sheetView showWhiteSpace="0" view="pageLayout" topLeftCell="A4" workbookViewId="0">
      <selection activeCell="B4" sqref="B4:E5"/>
    </sheetView>
  </sheetViews>
  <sheetFormatPr defaultColWidth="9.109375" defaultRowHeight="14.4" x14ac:dyDescent="0.3"/>
  <cols>
    <col min="1" max="1" width="39.109375" style="3" customWidth="1"/>
    <col min="2" max="2" width="10.5546875" style="3" bestFit="1" customWidth="1"/>
    <col min="3" max="3" width="7.5546875" style="6" bestFit="1" customWidth="1"/>
    <col min="4" max="4" width="9.88671875" style="6" bestFit="1" customWidth="1"/>
    <col min="5" max="5" width="14.6640625" style="3" customWidth="1"/>
    <col min="6" max="16384" width="9.109375" style="3"/>
  </cols>
  <sheetData>
    <row r="1" spans="1:6" s="52" customFormat="1" ht="33" customHeight="1" x14ac:dyDescent="0.3">
      <c r="A1" s="47" t="s">
        <v>76</v>
      </c>
      <c r="B1" s="56"/>
      <c r="C1" s="2" t="s">
        <v>61</v>
      </c>
      <c r="D1" s="48"/>
      <c r="E1" s="2" t="s">
        <v>62</v>
      </c>
      <c r="F1" s="57"/>
    </row>
    <row r="2" spans="1:6" s="52" customFormat="1" ht="20.399999999999999" x14ac:dyDescent="0.3">
      <c r="A2" s="47" t="s">
        <v>63</v>
      </c>
      <c r="B2" s="53" t="e">
        <f>D2/D1</f>
        <v>#DIV/0!</v>
      </c>
      <c r="C2" s="2" t="s">
        <v>64</v>
      </c>
      <c r="D2" s="54">
        <f>E9</f>
        <v>0</v>
      </c>
      <c r="E2" s="2" t="s">
        <v>65</v>
      </c>
      <c r="F2" s="58">
        <f>F1+364</f>
        <v>364</v>
      </c>
    </row>
    <row r="3" spans="1:6" s="52" customFormat="1" ht="10.199999999999999" x14ac:dyDescent="0.3"/>
    <row r="4" spans="1:6" s="59" customFormat="1" ht="13.8" x14ac:dyDescent="0.3">
      <c r="A4" s="252" t="s">
        <v>67</v>
      </c>
      <c r="B4" s="253" t="s">
        <v>20</v>
      </c>
      <c r="C4" s="254"/>
      <c r="D4" s="254"/>
      <c r="E4" s="255"/>
    </row>
    <row r="5" spans="1:6" s="59" customFormat="1" ht="13.8" x14ac:dyDescent="0.3">
      <c r="A5" s="252"/>
      <c r="B5" s="60" t="s">
        <v>68</v>
      </c>
      <c r="C5" s="60" t="s">
        <v>69</v>
      </c>
      <c r="D5" s="60" t="s">
        <v>70</v>
      </c>
      <c r="E5" s="60" t="s">
        <v>14</v>
      </c>
    </row>
    <row r="6" spans="1:6" s="64" customFormat="1" ht="63.75" customHeight="1" x14ac:dyDescent="0.3">
      <c r="A6" s="61" t="s">
        <v>71</v>
      </c>
      <c r="B6" s="62"/>
      <c r="C6" s="63"/>
      <c r="D6" s="63"/>
      <c r="E6" s="68">
        <f>B6*D6</f>
        <v>0</v>
      </c>
    </row>
    <row r="7" spans="1:6" s="64" customFormat="1" ht="63.75" customHeight="1" x14ac:dyDescent="0.3">
      <c r="A7" s="61" t="s">
        <v>72</v>
      </c>
      <c r="B7" s="62"/>
      <c r="C7" s="63"/>
      <c r="D7" s="63"/>
      <c r="E7" s="68">
        <f>B7*D7</f>
        <v>0</v>
      </c>
    </row>
    <row r="8" spans="1:6" s="64" customFormat="1" ht="63.75" customHeight="1" x14ac:dyDescent="0.3">
      <c r="A8" s="61" t="s">
        <v>73</v>
      </c>
      <c r="B8" s="65"/>
      <c r="C8" s="63"/>
      <c r="D8" s="63"/>
      <c r="E8" s="68">
        <f>B8*D8</f>
        <v>0</v>
      </c>
    </row>
    <row r="9" spans="1:6" x14ac:dyDescent="0.3">
      <c r="D9" s="6">
        <f>SUM(E6:E8)</f>
        <v>0</v>
      </c>
      <c r="E9" s="69">
        <f>SUM(E6:E8)</f>
        <v>0</v>
      </c>
    </row>
    <row r="10" spans="1:6" x14ac:dyDescent="0.3">
      <c r="E10" s="70"/>
    </row>
  </sheetData>
  <mergeCells count="2">
    <mergeCell ref="A4:A5"/>
    <mergeCell ref="B4:E4"/>
  </mergeCells>
  <conditionalFormatting sqref="F2">
    <cfRule type="cellIs" dxfId="5" priority="1" stopIfTrue="1" operator="lessThan">
      <formula>TODAY()</formula>
    </cfRule>
  </conditionalFormatting>
  <pageMargins left="0.39370078740157483" right="0.39370078740157483" top="0.98425196850393704" bottom="0.78740157480314965" header="0.31496062992125984" footer="0.31496062992125984"/>
  <pageSetup paperSize="9" orientation="portrait" r:id="rId1"/>
  <headerFooter>
    <oddHeader>&amp;C&amp;"-,Negrito"&amp;12ACOMPANHAMENTO DE CONTRATOSPRODUTIVA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6"/>
  <sheetViews>
    <sheetView showWhiteSpace="0" view="pageLayout" workbookViewId="0">
      <selection activeCell="D28" sqref="D28"/>
    </sheetView>
  </sheetViews>
  <sheetFormatPr defaultColWidth="9.109375" defaultRowHeight="14.4" x14ac:dyDescent="0.3"/>
  <cols>
    <col min="1" max="1" width="21.44140625" style="3" bestFit="1" customWidth="1"/>
    <col min="2" max="2" width="14.44140625" style="3" bestFit="1" customWidth="1"/>
    <col min="3" max="3" width="10.5546875" style="6" bestFit="1" customWidth="1"/>
    <col min="4" max="4" width="9.88671875" style="6" bestFit="1" customWidth="1"/>
    <col min="5" max="5" width="6.6640625" style="3" bestFit="1" customWidth="1"/>
    <col min="6" max="6" width="7.44140625" style="3" bestFit="1" customWidth="1"/>
    <col min="7" max="16384" width="9.109375" style="3"/>
  </cols>
  <sheetData>
    <row r="1" spans="1:6" s="52" customFormat="1" ht="33" customHeight="1" x14ac:dyDescent="0.3">
      <c r="A1" s="47" t="s">
        <v>76</v>
      </c>
      <c r="B1" s="56" t="s">
        <v>97</v>
      </c>
      <c r="C1" s="96" t="s">
        <v>61</v>
      </c>
      <c r="D1" s="48">
        <v>6000</v>
      </c>
      <c r="E1" s="96" t="s">
        <v>62</v>
      </c>
      <c r="F1" s="57">
        <v>43512</v>
      </c>
    </row>
    <row r="2" spans="1:6" s="52" customFormat="1" ht="10.199999999999999" x14ac:dyDescent="0.3">
      <c r="A2" s="47" t="s">
        <v>63</v>
      </c>
      <c r="B2" s="53">
        <f>D2/D1</f>
        <v>0.17543333333333333</v>
      </c>
      <c r="C2" s="96" t="s">
        <v>64</v>
      </c>
      <c r="D2" s="54">
        <f>SUM(C5:C16)</f>
        <v>1052.5999999999999</v>
      </c>
      <c r="E2" s="96" t="s">
        <v>65</v>
      </c>
      <c r="F2" s="58">
        <f>F1+364</f>
        <v>43876</v>
      </c>
    </row>
    <row r="3" spans="1:6" s="52" customFormat="1" ht="10.199999999999999" x14ac:dyDescent="0.3"/>
    <row r="4" spans="1:6" x14ac:dyDescent="0.3">
      <c r="A4" s="95" t="s">
        <v>98</v>
      </c>
      <c r="B4" s="95" t="s">
        <v>99</v>
      </c>
      <c r="C4" s="39"/>
      <c r="E4" s="70"/>
    </row>
    <row r="5" spans="1:6" x14ac:dyDescent="0.3">
      <c r="A5" s="32">
        <v>43525</v>
      </c>
      <c r="B5" s="32">
        <v>43556</v>
      </c>
      <c r="C5" s="39">
        <v>0</v>
      </c>
    </row>
    <row r="6" spans="1:6" x14ac:dyDescent="0.3">
      <c r="A6" s="32">
        <v>43556</v>
      </c>
      <c r="B6" s="32">
        <v>43586</v>
      </c>
      <c r="C6" s="39">
        <v>36.130000000000003</v>
      </c>
    </row>
    <row r="7" spans="1:6" x14ac:dyDescent="0.3">
      <c r="A7" s="32">
        <v>43586</v>
      </c>
      <c r="B7" s="32">
        <v>43617</v>
      </c>
      <c r="C7" s="39">
        <v>75.709999999999994</v>
      </c>
    </row>
    <row r="8" spans="1:6" x14ac:dyDescent="0.3">
      <c r="A8" s="32">
        <v>43617</v>
      </c>
      <c r="B8" s="32">
        <v>43647</v>
      </c>
      <c r="C8" s="39">
        <v>373.58</v>
      </c>
    </row>
    <row r="9" spans="1:6" x14ac:dyDescent="0.3">
      <c r="A9" s="32">
        <v>43647</v>
      </c>
      <c r="B9" s="32">
        <v>43678</v>
      </c>
      <c r="C9" s="39">
        <v>201.26</v>
      </c>
    </row>
    <row r="10" spans="1:6" x14ac:dyDescent="0.3">
      <c r="A10" s="32">
        <v>43678</v>
      </c>
      <c r="B10" s="32">
        <v>43709</v>
      </c>
      <c r="C10" s="39">
        <v>206.63</v>
      </c>
    </row>
    <row r="11" spans="1:6" x14ac:dyDescent="0.3">
      <c r="A11" s="32">
        <v>43709</v>
      </c>
      <c r="B11" s="32">
        <v>43739</v>
      </c>
      <c r="C11" s="39">
        <v>159.29</v>
      </c>
    </row>
    <row r="12" spans="1:6" x14ac:dyDescent="0.3">
      <c r="A12" s="32">
        <v>43739</v>
      </c>
      <c r="B12" s="32">
        <v>43770</v>
      </c>
      <c r="C12" s="39"/>
    </row>
    <row r="13" spans="1:6" x14ac:dyDescent="0.3">
      <c r="A13" s="32">
        <v>43770</v>
      </c>
      <c r="B13" s="32">
        <v>43800</v>
      </c>
      <c r="C13" s="39"/>
    </row>
    <row r="14" spans="1:6" x14ac:dyDescent="0.3">
      <c r="A14" s="32">
        <v>43800</v>
      </c>
      <c r="B14" s="32">
        <v>43831</v>
      </c>
      <c r="C14" s="39"/>
    </row>
    <row r="15" spans="1:6" x14ac:dyDescent="0.3">
      <c r="A15" s="32">
        <v>43831</v>
      </c>
      <c r="B15" s="32">
        <v>43862</v>
      </c>
      <c r="C15" s="39"/>
    </row>
    <row r="16" spans="1:6" x14ac:dyDescent="0.3">
      <c r="A16" s="32">
        <v>43862</v>
      </c>
      <c r="B16" s="32">
        <v>43891</v>
      </c>
      <c r="C16" s="39"/>
    </row>
  </sheetData>
  <conditionalFormatting sqref="F2">
    <cfRule type="cellIs" dxfId="4" priority="1" stopIfTrue="1" operator="lessThan">
      <formula>TODAY()</formula>
    </cfRule>
  </conditionalFormatting>
  <pageMargins left="0.39370078740157483" right="0.39370078740157483" top="0.98425196850393704" bottom="0.78740157480314965" header="0.31496062992125984" footer="0.31496062992125984"/>
  <pageSetup paperSize="9" orientation="portrait" r:id="rId1"/>
  <headerFooter>
    <oddHeader>&amp;C&amp;"-,Negrito"&amp;12ACOMPANHAMENTO DE CONTRATOSPRODUTIVA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Layout" zoomScale="96" zoomScalePageLayoutView="96" workbookViewId="0">
      <selection activeCell="C18" sqref="C18"/>
    </sheetView>
  </sheetViews>
  <sheetFormatPr defaultRowHeight="14.4" x14ac:dyDescent="0.3"/>
  <cols>
    <col min="1" max="1" width="42.33203125" customWidth="1"/>
    <col min="2" max="2" width="4.6640625" bestFit="1" customWidth="1"/>
    <col min="3" max="3" width="12.109375" bestFit="1" customWidth="1"/>
    <col min="4" max="4" width="11" customWidth="1"/>
    <col min="5" max="5" width="12.109375" bestFit="1" customWidth="1"/>
    <col min="6" max="6" width="13.109375" customWidth="1"/>
    <col min="7" max="7" width="12.109375" bestFit="1" customWidth="1"/>
  </cols>
  <sheetData>
    <row r="1" spans="1:7" s="52" customFormat="1" ht="33" customHeight="1" x14ac:dyDescent="0.3">
      <c r="A1" s="86" t="s">
        <v>76</v>
      </c>
      <c r="B1" s="87" t="s">
        <v>8</v>
      </c>
      <c r="C1" s="88" t="s">
        <v>61</v>
      </c>
      <c r="D1" s="84">
        <f>C14</f>
        <v>5112.2</v>
      </c>
      <c r="E1" s="83"/>
      <c r="F1" s="83"/>
    </row>
    <row r="2" spans="1:7" s="52" customFormat="1" ht="30.75" customHeight="1" x14ac:dyDescent="0.3">
      <c r="A2" s="86" t="s">
        <v>63</v>
      </c>
      <c r="B2" s="89">
        <f>D2/D1</f>
        <v>1</v>
      </c>
      <c r="C2" s="88" t="s">
        <v>124</v>
      </c>
      <c r="D2" s="85">
        <f>E14+G14</f>
        <v>5112.2</v>
      </c>
      <c r="E2" s="83"/>
      <c r="F2" s="83"/>
    </row>
    <row r="4" spans="1:7" ht="15" customHeight="1" x14ac:dyDescent="0.3">
      <c r="A4" s="258" t="s">
        <v>82</v>
      </c>
      <c r="B4" s="258" t="s">
        <v>1</v>
      </c>
      <c r="C4" s="258" t="s">
        <v>66</v>
      </c>
      <c r="D4" s="259" t="s">
        <v>94</v>
      </c>
      <c r="E4" s="259" t="s">
        <v>91</v>
      </c>
      <c r="F4" s="260" t="s">
        <v>93</v>
      </c>
      <c r="G4" s="256" t="s">
        <v>92</v>
      </c>
    </row>
    <row r="5" spans="1:7" x14ac:dyDescent="0.3">
      <c r="A5" s="258"/>
      <c r="B5" s="258"/>
      <c r="C5" s="258"/>
      <c r="D5" s="258"/>
      <c r="E5" s="258"/>
      <c r="F5" s="261"/>
      <c r="G5" s="257"/>
    </row>
    <row r="6" spans="1:7" x14ac:dyDescent="0.3">
      <c r="A6" s="79" t="s">
        <v>83</v>
      </c>
      <c r="B6" s="80">
        <v>18</v>
      </c>
      <c r="C6" s="81">
        <v>261</v>
      </c>
      <c r="D6" s="80">
        <v>18</v>
      </c>
      <c r="E6" s="82">
        <f>C6</f>
        <v>261</v>
      </c>
      <c r="F6" s="80" t="s">
        <v>10</v>
      </c>
      <c r="G6" s="141" t="s">
        <v>10</v>
      </c>
    </row>
    <row r="7" spans="1:7" x14ac:dyDescent="0.3">
      <c r="A7" s="79" t="s">
        <v>84</v>
      </c>
      <c r="B7" s="80">
        <v>2</v>
      </c>
      <c r="C7" s="81">
        <v>752</v>
      </c>
      <c r="D7" s="80">
        <v>2</v>
      </c>
      <c r="E7" s="82">
        <f>C7</f>
        <v>752</v>
      </c>
      <c r="F7" s="80" t="s">
        <v>10</v>
      </c>
      <c r="G7" s="141" t="s">
        <v>10</v>
      </c>
    </row>
    <row r="8" spans="1:7" x14ac:dyDescent="0.3">
      <c r="A8" s="79" t="s">
        <v>85</v>
      </c>
      <c r="B8" s="80">
        <v>2</v>
      </c>
      <c r="C8" s="81">
        <v>1780</v>
      </c>
      <c r="D8" s="80" t="s">
        <v>10</v>
      </c>
      <c r="E8" s="80" t="s">
        <v>10</v>
      </c>
      <c r="F8" s="80">
        <v>2</v>
      </c>
      <c r="G8" s="142">
        <f>C8</f>
        <v>1780</v>
      </c>
    </row>
    <row r="9" spans="1:7" x14ac:dyDescent="0.3">
      <c r="A9" s="79" t="s">
        <v>86</v>
      </c>
      <c r="B9" s="80">
        <v>2</v>
      </c>
      <c r="C9" s="81">
        <v>1570</v>
      </c>
      <c r="D9" s="80" t="s">
        <v>10</v>
      </c>
      <c r="E9" s="80" t="s">
        <v>10</v>
      </c>
      <c r="F9" s="80">
        <v>2</v>
      </c>
      <c r="G9" s="142">
        <f>C9</f>
        <v>1570</v>
      </c>
    </row>
    <row r="10" spans="1:7" x14ac:dyDescent="0.3">
      <c r="A10" s="79" t="s">
        <v>87</v>
      </c>
      <c r="B10" s="80">
        <v>52</v>
      </c>
      <c r="C10" s="81">
        <v>150</v>
      </c>
      <c r="D10" s="80">
        <v>52</v>
      </c>
      <c r="E10" s="82">
        <f>C10</f>
        <v>150</v>
      </c>
      <c r="F10" s="80" t="s">
        <v>10</v>
      </c>
      <c r="G10" s="141" t="s">
        <v>10</v>
      </c>
    </row>
    <row r="11" spans="1:7" x14ac:dyDescent="0.3">
      <c r="A11" s="79" t="s">
        <v>88</v>
      </c>
      <c r="B11" s="80">
        <v>18</v>
      </c>
      <c r="C11" s="81">
        <v>70</v>
      </c>
      <c r="D11" s="80">
        <v>18</v>
      </c>
      <c r="E11" s="82">
        <f>C11</f>
        <v>70</v>
      </c>
      <c r="F11" s="80" t="s">
        <v>10</v>
      </c>
      <c r="G11" s="141" t="s">
        <v>10</v>
      </c>
    </row>
    <row r="12" spans="1:7" x14ac:dyDescent="0.3">
      <c r="A12" s="79" t="s">
        <v>89</v>
      </c>
      <c r="B12" s="80">
        <v>3</v>
      </c>
      <c r="C12" s="81">
        <v>124.19999999999999</v>
      </c>
      <c r="D12" s="80" t="s">
        <v>10</v>
      </c>
      <c r="E12" s="80" t="s">
        <v>10</v>
      </c>
      <c r="F12" s="80">
        <v>3</v>
      </c>
      <c r="G12" s="142">
        <f>C12</f>
        <v>124.19999999999999</v>
      </c>
    </row>
    <row r="13" spans="1:7" x14ac:dyDescent="0.3">
      <c r="A13" s="79" t="s">
        <v>90</v>
      </c>
      <c r="B13" s="80">
        <v>1</v>
      </c>
      <c r="C13" s="81">
        <v>405</v>
      </c>
      <c r="D13" s="80" t="s">
        <v>10</v>
      </c>
      <c r="E13" s="80" t="s">
        <v>10</v>
      </c>
      <c r="F13" s="80">
        <v>1</v>
      </c>
      <c r="G13" s="142">
        <f>C13</f>
        <v>405</v>
      </c>
    </row>
    <row r="14" spans="1:7" x14ac:dyDescent="0.3">
      <c r="A14" s="90" t="s">
        <v>31</v>
      </c>
      <c r="B14" s="91"/>
      <c r="C14" s="92">
        <f>SUM(C6:C13)</f>
        <v>5112.2</v>
      </c>
      <c r="D14" s="91"/>
      <c r="E14" s="92">
        <f>SUM(E6:E13)</f>
        <v>1233</v>
      </c>
      <c r="F14" s="91"/>
      <c r="G14" s="92">
        <f>C14-E14</f>
        <v>3879.2</v>
      </c>
    </row>
  </sheetData>
  <mergeCells count="7">
    <mergeCell ref="G4:G5"/>
    <mergeCell ref="A4:A5"/>
    <mergeCell ref="B4:B5"/>
    <mergeCell ref="D4:D5"/>
    <mergeCell ref="C4:C5"/>
    <mergeCell ref="F4:F5"/>
    <mergeCell ref="E4:E5"/>
  </mergeCells>
  <pageMargins left="0.51181102362204722" right="0.51181102362204722" top="0.98425196850393704" bottom="0.78740157480314965" header="0.31496062992125984" footer="0.31496062992125984"/>
  <pageSetup paperSize="9" orientation="landscape" horizontalDpi="4294967294" verticalDpi="4294967294" r:id="rId1"/>
  <headerFooter>
    <oddHeader>&amp;C&amp;"-,Negrito"GRÁFICA SANTA RITA - PROCESSO DE SINALIZAÇÃOSANTA RITA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4B2C175C-5F5D-484D-918F-F20F3638D7DB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5</vt:i4>
      </vt:variant>
    </vt:vector>
  </HeadingPairs>
  <TitlesOfParts>
    <vt:vector size="22" baseType="lpstr">
      <vt:lpstr>AGEFEPE - 2021</vt:lpstr>
      <vt:lpstr>Soluti-CERTIFICADO DIGITAL</vt:lpstr>
      <vt:lpstr>CDL neg.</vt:lpstr>
      <vt:lpstr>CDL anal</vt:lpstr>
      <vt:lpstr>SERASA NEG.</vt:lpstr>
      <vt:lpstr>SERASA ANALISE</vt:lpstr>
      <vt:lpstr>PRODUTIVA</vt:lpstr>
      <vt:lpstr>Trans serv</vt:lpstr>
      <vt:lpstr>GRÁFICA sin. SANTA MARIA</vt:lpstr>
      <vt:lpstr>IMPRESSÃO</vt:lpstr>
      <vt:lpstr>ÁGUA</vt:lpstr>
      <vt:lpstr>FENASEG - B3</vt:lpstr>
      <vt:lpstr>NAE</vt:lpstr>
      <vt:lpstr>CEPE</vt:lpstr>
      <vt:lpstr>SERVAL MOTORISTA</vt:lpstr>
      <vt:lpstr>CIEE</vt:lpstr>
      <vt:lpstr>IAUPE</vt:lpstr>
      <vt:lpstr>ÁGUA!Area_de_impressao</vt:lpstr>
      <vt:lpstr>IMPRESSÃO!Area_de_impressao</vt:lpstr>
      <vt:lpstr>NAE!Area_de_impressao</vt:lpstr>
      <vt:lpstr>'SERASA ANALISE'!Area_de_impressao</vt:lpstr>
      <vt:lpstr>'SERASA NEG.'!Area_de_impressao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rodrigo.guimaraes</dc:creator>
  <cp:lastModifiedBy>Rayanna Vanessa Bezerra Neves Silva</cp:lastModifiedBy>
  <cp:lastPrinted>2021-08-31T13:53:17Z</cp:lastPrinted>
  <dcterms:created xsi:type="dcterms:W3CDTF">2019-06-03T18:27:24Z</dcterms:created>
  <dcterms:modified xsi:type="dcterms:W3CDTF">2021-10-06T18:34:24Z</dcterms:modified>
</cp:coreProperties>
</file>